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diana-beltran\Dropbox\Presupuesto 2024\Proyeccion 2025\"/>
    </mc:Choice>
  </mc:AlternateContent>
  <xr:revisionPtr revIDLastSave="0" documentId="13_ncr:1_{815AF1EA-2DA9-4316-BA07-DC5AC6130F3A}" xr6:coauthVersionLast="36" xr6:coauthVersionMax="36" xr10:uidLastSave="{00000000-0000-0000-0000-000000000000}"/>
  <bookViews>
    <workbookView xWindow="0" yWindow="0" windowWidth="28800" windowHeight="12225" xr2:uid="{00000000-000D-0000-FFFF-FFFF00000000}"/>
  </bookViews>
  <sheets>
    <sheet name="POAI 2025" sheetId="1" r:id="rId1"/>
    <sheet name="Hoja1" sheetId="4" state="hidden" r:id="rId2"/>
    <sheet name="metas TOLIMA" sheetId="3" state="hidden" r:id="rId3"/>
    <sheet name="presupuesto acuifero" sheetId="2" state="hidden" r:id="rId4"/>
    <sheet name="ARMONIZACIÓN METAS" sheetId="5" state="hidden" r:id="rId5"/>
    <sheet name="RESUMEN" sheetId="7" r:id="rId6"/>
  </sheets>
  <definedNames>
    <definedName name="_xlnm._FilterDatabase" localSheetId="4" hidden="1">'ARMONIZACIÓN METAS'!$B$2:$Z$44</definedName>
    <definedName name="_xlnm._FilterDatabase" localSheetId="0" hidden="1">'POAI 2025'!$B$4:$AK$97</definedName>
    <definedName name="_Hlk160004381" localSheetId="2">'metas TOLIMA'!$D$8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5" i="1" l="1"/>
  <c r="C16" i="7" l="1"/>
  <c r="C13" i="7"/>
  <c r="C10" i="7"/>
  <c r="C7" i="7"/>
  <c r="C4" i="7"/>
  <c r="C15" i="7"/>
  <c r="C6" i="7"/>
  <c r="C3" i="7"/>
  <c r="Q6" i="1" l="1"/>
  <c r="P91" i="1" l="1"/>
  <c r="N54" i="1"/>
  <c r="N60" i="1"/>
  <c r="P53" i="1" l="1"/>
  <c r="P41" i="1"/>
  <c r="T6" i="1" l="1"/>
  <c r="U6" i="1"/>
  <c r="V6" i="1"/>
  <c r="W6" i="1"/>
  <c r="Z6" i="1"/>
  <c r="AA6" i="1"/>
  <c r="AC6" i="1"/>
  <c r="AD6" i="1"/>
  <c r="AE6" i="1"/>
  <c r="AF6" i="1"/>
  <c r="AG6" i="1"/>
  <c r="AH6" i="1"/>
  <c r="AI6" i="1"/>
  <c r="AJ6" i="1"/>
  <c r="AK6" i="1"/>
  <c r="X6" i="1" l="1"/>
  <c r="AB6" i="1"/>
  <c r="Y6" i="1"/>
  <c r="P5" i="1"/>
  <c r="S6" i="1" l="1"/>
  <c r="L72" i="1" l="1"/>
  <c r="L94" i="1" l="1"/>
  <c r="S7" i="1"/>
  <c r="T7" i="1"/>
  <c r="U7" i="1"/>
  <c r="V7" i="1"/>
  <c r="W7" i="1"/>
  <c r="Y7" i="1"/>
  <c r="Z7" i="1"/>
  <c r="AB7" i="1"/>
  <c r="AC7" i="1"/>
  <c r="AD7" i="1"/>
  <c r="AE7" i="1"/>
  <c r="AF7" i="1"/>
  <c r="AG7" i="1"/>
  <c r="AH7" i="1"/>
  <c r="AJ7" i="1"/>
  <c r="AK7" i="1"/>
  <c r="R6" i="1" l="1"/>
  <c r="L55" i="1"/>
  <c r="L24" i="1"/>
  <c r="L65" i="1"/>
  <c r="M24" i="1"/>
  <c r="M55" i="1"/>
  <c r="M65" i="1"/>
  <c r="M72" i="1"/>
  <c r="M94" i="1"/>
  <c r="P9" i="1"/>
  <c r="P10" i="1"/>
  <c r="P11" i="1"/>
  <c r="P12" i="1"/>
  <c r="P13" i="1"/>
  <c r="P14" i="1"/>
  <c r="P15" i="1"/>
  <c r="P16" i="1"/>
  <c r="P17" i="1"/>
  <c r="P18" i="1"/>
  <c r="P19" i="1"/>
  <c r="P20" i="1"/>
  <c r="P22" i="1"/>
  <c r="P26" i="1"/>
  <c r="P27" i="1"/>
  <c r="P28" i="1"/>
  <c r="P29" i="1"/>
  <c r="P30" i="1"/>
  <c r="P31" i="1"/>
  <c r="P33" i="1"/>
  <c r="P34" i="1"/>
  <c r="P35" i="1"/>
  <c r="P36" i="1"/>
  <c r="P37" i="1"/>
  <c r="P38" i="1"/>
  <c r="P39" i="1"/>
  <c r="P40" i="1"/>
  <c r="P42" i="1"/>
  <c r="P43" i="1"/>
  <c r="P44" i="1"/>
  <c r="P45" i="1"/>
  <c r="P46" i="1"/>
  <c r="P47" i="1"/>
  <c r="P50" i="1"/>
  <c r="P51" i="1"/>
  <c r="P52" i="1"/>
  <c r="P54" i="1"/>
  <c r="P58" i="1"/>
  <c r="P59" i="1"/>
  <c r="P60" i="1"/>
  <c r="P61" i="1"/>
  <c r="P62" i="1"/>
  <c r="P64" i="1"/>
  <c r="P67" i="1"/>
  <c r="P68" i="1"/>
  <c r="P69" i="1"/>
  <c r="P70" i="1"/>
  <c r="P71" i="1"/>
  <c r="P74" i="1"/>
  <c r="P75" i="1"/>
  <c r="P79" i="1"/>
  <c r="P80" i="1"/>
  <c r="P81" i="1"/>
  <c r="P82" i="1"/>
  <c r="P83" i="1"/>
  <c r="P84" i="1"/>
  <c r="P85" i="1"/>
  <c r="P86" i="1"/>
  <c r="P87" i="1"/>
  <c r="P89" i="1"/>
  <c r="P90" i="1"/>
  <c r="P92" i="1"/>
  <c r="P93" i="1"/>
  <c r="P77" i="1" l="1"/>
  <c r="P72" i="1"/>
  <c r="P55" i="1"/>
  <c r="AG74" i="5" l="1"/>
  <c r="U74" i="5"/>
  <c r="AH73" i="5"/>
  <c r="AF73" i="5"/>
  <c r="AE73" i="5"/>
  <c r="Z73" i="5"/>
  <c r="W73" i="5"/>
  <c r="AH72" i="5"/>
  <c r="AH70" i="5"/>
  <c r="AG70" i="5"/>
  <c r="AG67" i="5"/>
  <c r="R66" i="5"/>
  <c r="Q66" i="5"/>
  <c r="AG65" i="5"/>
  <c r="AG61" i="5"/>
  <c r="R61" i="5"/>
  <c r="Q61" i="5"/>
  <c r="W60" i="5"/>
  <c r="AG58" i="5"/>
  <c r="R57" i="5"/>
  <c r="AI57" i="5" s="1"/>
  <c r="Q57" i="5"/>
  <c r="V56" i="5"/>
  <c r="R56" i="5"/>
  <c r="Q56" i="5"/>
  <c r="AF53" i="5"/>
  <c r="AG53" i="5" s="1"/>
  <c r="AF52" i="5"/>
  <c r="AG52" i="5" s="1"/>
  <c r="R52" i="5"/>
  <c r="AI52" i="5" s="1"/>
  <c r="Q52" i="5"/>
  <c r="AH50" i="5"/>
  <c r="AI48" i="5"/>
  <c r="T48" i="5"/>
  <c r="AH47" i="5"/>
  <c r="AI46" i="5"/>
  <c r="AF46" i="5"/>
  <c r="AE46" i="5"/>
  <c r="AF45" i="5"/>
  <c r="AG45" i="5" s="1"/>
  <c r="R45" i="5"/>
  <c r="Q45" i="5"/>
  <c r="AC44" i="5"/>
  <c r="T44" i="5"/>
  <c r="R44" i="5"/>
  <c r="Q44" i="5"/>
  <c r="R41" i="5"/>
  <c r="Q41" i="5"/>
  <c r="AF40" i="5"/>
  <c r="AE40" i="5"/>
  <c r="AG36" i="5"/>
  <c r="AF33" i="5"/>
  <c r="AE33" i="5"/>
  <c r="Z33" i="5"/>
  <c r="Q33" i="5"/>
  <c r="AG31" i="5"/>
  <c r="AF30" i="5"/>
  <c r="AG30" i="5" s="1"/>
  <c r="Y30" i="5"/>
  <c r="V30" i="5"/>
  <c r="Q30" i="5"/>
  <c r="AF29" i="5"/>
  <c r="AE29" i="5"/>
  <c r="Q29" i="5"/>
  <c r="AF26" i="5"/>
  <c r="AG26" i="5" s="1"/>
  <c r="P26" i="5"/>
  <c r="AG25" i="5"/>
  <c r="W25" i="5"/>
  <c r="T25" i="5"/>
  <c r="R25" i="5"/>
  <c r="Q25" i="5"/>
  <c r="AF21" i="5"/>
  <c r="AE21" i="5"/>
  <c r="AF19" i="5"/>
  <c r="AG19" i="5" s="1"/>
  <c r="AF17" i="5"/>
  <c r="AE17" i="5"/>
  <c r="Q17" i="5"/>
  <c r="AG16" i="5"/>
  <c r="R15" i="5"/>
  <c r="Q15" i="5"/>
  <c r="Y14" i="5"/>
  <c r="Y12" i="5"/>
  <c r="AF11" i="5"/>
  <c r="AE11" i="5"/>
  <c r="R11" i="5"/>
  <c r="Q11" i="5"/>
  <c r="AF9" i="5"/>
  <c r="AG9" i="5" s="1"/>
  <c r="Q9" i="5"/>
  <c r="AG8" i="5"/>
  <c r="V8" i="5"/>
  <c r="AF7" i="5"/>
  <c r="AE7" i="5"/>
  <c r="Y6" i="5"/>
  <c r="Y5" i="5"/>
  <c r="Y4" i="5"/>
  <c r="AF3" i="5"/>
  <c r="AE3" i="5"/>
  <c r="AC3" i="5"/>
  <c r="AG29" i="5" l="1"/>
  <c r="AG46" i="5"/>
  <c r="AG7" i="5"/>
  <c r="AG17" i="5"/>
  <c r="AG3" i="5"/>
  <c r="AG33" i="5"/>
  <c r="AG40" i="5"/>
  <c r="AG11" i="5"/>
  <c r="U79" i="5"/>
  <c r="Z79" i="5"/>
  <c r="AG21" i="5"/>
  <c r="AI56" i="5"/>
  <c r="AI47" i="5"/>
  <c r="W79" i="5"/>
  <c r="AI45" i="5"/>
  <c r="AH61" i="5"/>
  <c r="AG73" i="5"/>
  <c r="L96" i="1" l="1"/>
  <c r="L97" i="1" s="1"/>
  <c r="R79" i="5"/>
  <c r="E7" i="2" l="1"/>
  <c r="L7" i="2" s="1"/>
  <c r="E8" i="2"/>
  <c r="M8" i="2" s="1"/>
  <c r="E9" i="2"/>
  <c r="M9" i="2" s="1"/>
  <c r="E10" i="2"/>
  <c r="M10" i="2" s="1"/>
  <c r="E11" i="2"/>
  <c r="M11" i="2" s="1"/>
  <c r="E12" i="2"/>
  <c r="M12" i="2" s="1"/>
  <c r="E6" i="2"/>
  <c r="M6" i="2" s="1"/>
  <c r="M7" i="2" l="1"/>
  <c r="M13" i="2" s="1"/>
  <c r="M14" i="2" s="1"/>
  <c r="J12" i="2"/>
  <c r="L12" i="2"/>
  <c r="J11" i="2"/>
  <c r="L11" i="2"/>
  <c r="K10" i="2"/>
  <c r="L10" i="2"/>
  <c r="J7" i="2"/>
  <c r="K7" i="2"/>
  <c r="E13" i="2"/>
  <c r="J6" i="2"/>
  <c r="K6" i="2"/>
  <c r="L6" i="2"/>
  <c r="K12" i="2"/>
  <c r="K11" i="2"/>
  <c r="J10" i="2"/>
  <c r="J9" i="2"/>
  <c r="K9" i="2"/>
  <c r="L9" i="2"/>
  <c r="J8" i="2"/>
  <c r="K8" i="2"/>
  <c r="L8" i="2"/>
  <c r="L13" i="2" l="1"/>
  <c r="L14" i="2" s="1"/>
  <c r="K13" i="2"/>
  <c r="K14" i="2" s="1"/>
  <c r="J13" i="2"/>
  <c r="J14" i="2" l="1"/>
  <c r="N13" i="2"/>
  <c r="O13" i="2" s="1"/>
  <c r="AI7" i="1" l="1"/>
  <c r="P63" i="1"/>
  <c r="P23" i="1"/>
  <c r="X7" i="1"/>
  <c r="P8" i="1"/>
  <c r="AA7" i="1"/>
  <c r="P57" i="1"/>
  <c r="P21" i="1"/>
  <c r="P24" i="1" l="1"/>
  <c r="P65" i="1"/>
  <c r="R7" i="1"/>
  <c r="P88" i="1"/>
  <c r="P94" i="1" s="1"/>
  <c r="Q7" i="1" l="1"/>
  <c r="P7" i="1" s="1"/>
  <c r="P32" i="1"/>
  <c r="P48" i="1" l="1"/>
  <c r="P9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MARCELA BELTRAN POVEDA</author>
  </authors>
  <commentList>
    <comment ref="Q27" authorId="0" shapeId="0" xr:uid="{053A87E7-C5B2-40C3-ACBA-21B1AD0BCFBA}">
      <text>
        <r>
          <rPr>
            <b/>
            <sz val="9"/>
            <color indexed="81"/>
            <rFont val="Tahoma"/>
            <family val="2"/>
          </rPr>
          <t>Contrato de Abogados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CORTOLIMA</author>
    <author>HECTOR SPECK HERNANDEZ</author>
    <author>CAMILA</author>
    <author>Administrador</author>
    <author>LENOVO</author>
  </authors>
  <commentList>
    <comment ref="Q3" authorId="0" shapeId="0" xr:uid="{00000000-0006-0000-0400-000001000000}">
      <text>
        <r>
          <rPr>
            <b/>
            <sz val="14"/>
            <color indexed="81"/>
            <rFont val="Tahoma"/>
            <family val="2"/>
          </rPr>
          <t>CORTOLIMA: APORTA 240 MILLONES; REGALÍAS 240 MILLONES</t>
        </r>
      </text>
    </comment>
    <comment ref="S3" authorId="0" shapeId="0" xr:uid="{00000000-0006-0000-0400-000002000000}">
      <text>
        <r>
          <rPr>
            <sz val="16"/>
            <color indexed="81"/>
            <rFont val="Tahoma"/>
            <family val="2"/>
          </rPr>
          <t xml:space="preserve">SGR
</t>
        </r>
      </text>
    </comment>
    <comment ref="AA3" authorId="1" shapeId="0" xr:uid="{00000000-0006-0000-0400-000003000000}">
      <text>
        <r>
          <rPr>
            <sz val="9"/>
            <color indexed="81"/>
            <rFont val="Tahoma"/>
            <family val="2"/>
          </rPr>
          <t xml:space="preserve">INSTALACIÓN DE ESTACIONES DE MONITOREO
FORMULACIÓN DE POMCA
</t>
        </r>
      </text>
    </comment>
    <comment ref="AC3" authorId="2" shapeId="0" xr:uid="{00000000-0006-0000-0400-000004000000}">
      <text>
        <r>
          <rPr>
            <b/>
            <sz val="9"/>
            <color indexed="81"/>
            <rFont val="Tahoma"/>
            <family val="2"/>
          </rPr>
          <t xml:space="preserve">RECURSOS APROPIADOS EN SUBACTIVIDAD 1.1.1.1.1   -  $  646´
89 MILLONES PROVENIENTES DE FORMULACIÓN DE POMCA
</t>
        </r>
      </text>
    </comment>
    <comment ref="AE3" authorId="2" shapeId="0" xr:uid="{00000000-0006-0000-0400-000005000000}">
      <text>
        <r>
          <rPr>
            <b/>
            <sz val="9"/>
            <color indexed="81"/>
            <rFont val="Tahoma"/>
            <family val="2"/>
          </rPr>
          <t xml:space="preserve">RECURSOS APROPIADOS EN SUBACTIVIDAD 1.1.1.1.1   -  $  646´
89 MILLONES PROVENIENTES DE FORMULACIÓN DE POMCA
</t>
        </r>
      </text>
    </comment>
    <comment ref="AF3" authorId="3" shapeId="0" xr:uid="{00000000-0006-0000-0400-000006000000}">
      <text>
        <r>
          <rPr>
            <sz val="9"/>
            <color indexed="81"/>
            <rFont val="Tahoma"/>
            <family val="2"/>
          </rPr>
          <t>240 millones contrapartida adición convenio regalías
82 millones Portal
280 Millones Red Hidrometereológica</t>
        </r>
      </text>
    </comment>
    <comment ref="Q7" authorId="1" shapeId="0" xr:uid="{00000000-0006-0000-0400-000007000000}">
      <text>
        <r>
          <rPr>
            <b/>
            <sz val="9"/>
            <color indexed="81"/>
            <rFont val="Tahoma"/>
            <family val="2"/>
          </rPr>
          <t>VALOR PENDIENTE POR CONFIRMAR (LABORATORIO DE MONITOREO)</t>
        </r>
      </text>
    </comment>
    <comment ref="AA7" authorId="1" shapeId="0" xr:uid="{00000000-0006-0000-0400-000008000000}">
      <text>
        <r>
          <rPr>
            <b/>
            <sz val="9"/>
            <color indexed="81"/>
            <rFont val="Tahoma"/>
            <family val="2"/>
          </rPr>
          <t>EVALUACIÓN REGIONAL DEL AGUA</t>
        </r>
      </text>
    </comment>
    <comment ref="AE7" authorId="2" shapeId="0" xr:uid="{00000000-0006-0000-0400-000009000000}">
      <text>
        <r>
          <rPr>
            <b/>
            <sz val="9"/>
            <color indexed="81"/>
            <rFont val="Tahoma"/>
            <family val="2"/>
          </rPr>
          <t xml:space="preserve">RECURSOS PROVENIENTES DE ERA (500 MILLONES)
</t>
        </r>
      </text>
    </comment>
    <comment ref="AF7" authorId="2" shapeId="0" xr:uid="{00000000-0006-0000-0400-00000A000000}">
      <text>
        <r>
          <rPr>
            <b/>
            <sz val="9"/>
            <color indexed="81"/>
            <rFont val="Tahoma"/>
            <family val="2"/>
          </rPr>
          <t xml:space="preserve">
CPS $ 125´ meta por definir</t>
        </r>
      </text>
    </comment>
    <comment ref="Q8" authorId="3" shapeId="0" xr:uid="{00000000-0006-0000-0400-00000B000000}">
      <text>
        <r>
          <rPr>
            <sz val="9"/>
            <color indexed="81"/>
            <rFont val="Tahoma"/>
            <family val="2"/>
          </rPr>
          <t xml:space="preserve">VIGENCIA FUTURA
</t>
        </r>
      </text>
    </comment>
    <comment ref="AA8" authorId="1" shapeId="0" xr:uid="{00000000-0006-0000-0400-00000C000000}">
      <text>
        <r>
          <rPr>
            <b/>
            <sz val="9"/>
            <color indexed="81"/>
            <rFont val="Tahoma"/>
            <family val="2"/>
          </rPr>
          <t>PLAN DE MANEJO AMBIENTAL DE ACUIFEROS</t>
        </r>
      </text>
    </comment>
    <comment ref="AE8" authorId="2" shapeId="0" xr:uid="{00000000-0006-0000-0400-00000D000000}">
      <text>
        <r>
          <rPr>
            <b/>
            <sz val="9"/>
            <color indexed="81"/>
            <rFont val="Tahoma"/>
            <family val="2"/>
          </rPr>
          <t>VALOR APROPIADO EN SUBACTIVIDAD 1.1.1.4.6</t>
        </r>
        <r>
          <rPr>
            <sz val="9"/>
            <color indexed="81"/>
            <rFont val="Tahoma"/>
            <family val="2"/>
          </rPr>
          <t xml:space="preserve">
</t>
        </r>
      </text>
    </comment>
    <comment ref="AF8" authorId="2" shapeId="0" xr:uid="{00000000-0006-0000-0400-00000E000000}">
      <text>
        <r>
          <rPr>
            <b/>
            <sz val="9"/>
            <color indexed="81"/>
            <rFont val="Tahoma"/>
            <family val="2"/>
          </rPr>
          <t>VALOR PROCESO ACUIFERO NORTE</t>
        </r>
      </text>
    </comment>
    <comment ref="AE9" authorId="1" shapeId="0" xr:uid="{00000000-0006-0000-0400-00000F000000}">
      <text>
        <r>
          <rPr>
            <b/>
            <sz val="9"/>
            <color indexed="81"/>
            <rFont val="Tahoma"/>
            <family val="2"/>
          </rPr>
          <t>VALOR APROPIADO EN SUBACTIVIDAD  11145</t>
        </r>
      </text>
    </comment>
    <comment ref="AF9" authorId="0" shapeId="0" xr:uid="{00000000-0006-0000-0400-000010000000}">
      <text>
        <r>
          <rPr>
            <sz val="9"/>
            <color indexed="81"/>
            <rFont val="Tahoma"/>
            <family val="2"/>
          </rPr>
          <t>ACOTAMIENTO  75 MILLONES. 
REGLAMENTACIÓN 156 MILLONES
COMPRA DE DRONE: 350 MILLONES</t>
        </r>
      </text>
    </comment>
    <comment ref="AI9" authorId="2" shapeId="0" xr:uid="{00000000-0006-0000-0400-000011000000}">
      <text>
        <r>
          <rPr>
            <b/>
            <sz val="9"/>
            <color indexed="81"/>
            <rFont val="Tahoma"/>
            <family val="2"/>
          </rPr>
          <t>CPS PERSONAL ACOTAMIENTO 73,6 MILLONES</t>
        </r>
      </text>
    </comment>
    <comment ref="Q10" authorId="3" shapeId="0" xr:uid="{00000000-0006-0000-0400-000012000000}">
      <text>
        <r>
          <rPr>
            <sz val="9"/>
            <color indexed="81"/>
            <rFont val="Tahoma"/>
            <family val="2"/>
          </rPr>
          <t>RECURSOS SALEN DE RUBRO DE ACOTAMIENTO DE RONDA HÍDRICA
15% VIGENCIA FUTURA</t>
        </r>
      </text>
    </comment>
    <comment ref="Q11" authorId="3" shapeId="0" xr:uid="{00000000-0006-0000-0400-000013000000}">
      <text>
        <r>
          <rPr>
            <sz val="9"/>
            <color indexed="81"/>
            <rFont val="Tahoma"/>
            <family val="2"/>
          </rPr>
          <t xml:space="preserve">CPS $ 108´FORMULACIÓN
CPS $ 64´SEGUIMIENTO
15% VIGENCIA FUTURA POMCA
</t>
        </r>
      </text>
    </comment>
    <comment ref="R11" authorId="3" shapeId="0" xr:uid="{00000000-0006-0000-0400-000014000000}">
      <text>
        <r>
          <rPr>
            <sz val="9"/>
            <color indexed="81"/>
            <rFont val="Tahoma"/>
            <family val="2"/>
          </rPr>
          <t xml:space="preserve">CPS $ 108´FORMULACIÓN
CPS $ 64´SEGUIMIENTO
15% VIGENCIA FUTURA POMCA
125 MILLONES CPS ERA
</t>
        </r>
      </text>
    </comment>
    <comment ref="AE11" authorId="1" shapeId="0" xr:uid="{00000000-0006-0000-0400-000015000000}">
      <text>
        <r>
          <rPr>
            <sz val="12"/>
            <color indexed="81"/>
            <rFont val="Tahoma"/>
            <family val="2"/>
          </rPr>
          <t xml:space="preserve">VALOR APROPIADO EN FORMULACIÓN ($ 1.600´), Y EN SEGUIMIENTO ($ 110´) DE POMCA
 125 MILLONES PROVENIENTES DE ERA PARA ARMONIZAR LO YA EJECUTADO
</t>
        </r>
      </text>
    </comment>
    <comment ref="AF11" authorId="4" shapeId="0" xr:uid="{00000000-0006-0000-0400-000016000000}">
      <text>
        <r>
          <rPr>
            <b/>
            <sz val="9"/>
            <color indexed="81"/>
            <rFont val="Tahoma"/>
            <family val="2"/>
          </rPr>
          <t>VIGENCIA FUTURA 15% PORH Y POMCA
110 MILLONES DE SEGUIMIENTO A POMCA
89 MILLONES MONITOREO
125 MILLONES ERA</t>
        </r>
      </text>
    </comment>
    <comment ref="Q13" authorId="3" shapeId="0" xr:uid="{00000000-0006-0000-0400-000017000000}">
      <text>
        <r>
          <rPr>
            <sz val="9"/>
            <color indexed="81"/>
            <rFont val="Tahoma"/>
            <family val="2"/>
          </rPr>
          <t>RECURSOS SALEN DE SUBACTIVIDAD 1.1.1.4.3 (POMCA)
15% VIGENCI FUTURA</t>
        </r>
      </text>
    </comment>
    <comment ref="AG13" authorId="4" shapeId="0" xr:uid="{00000000-0006-0000-0400-000018000000}">
      <text>
        <r>
          <rPr>
            <b/>
            <sz val="9"/>
            <color indexed="81"/>
            <rFont val="Tahoma"/>
            <family val="2"/>
          </rPr>
          <t>VIGENCIA FUTURA 15%</t>
        </r>
      </text>
    </comment>
    <comment ref="Q14" authorId="0" shapeId="0" xr:uid="{00000000-0006-0000-0400-000019000000}">
      <text>
        <r>
          <rPr>
            <b/>
            <sz val="11"/>
            <color indexed="81"/>
            <rFont val="Tahoma"/>
            <family val="2"/>
          </rPr>
          <t xml:space="preserve">Origen SUBACTIVIDAD 3.3.1.2.1 </t>
        </r>
      </text>
    </comment>
    <comment ref="AI14" authorId="0" shapeId="0" xr:uid="{00000000-0006-0000-0400-00001A000000}">
      <text>
        <r>
          <rPr>
            <b/>
            <sz val="9"/>
            <color indexed="81"/>
            <rFont val="Tahoma"/>
            <family val="2"/>
          </rPr>
          <t>TUA 33121</t>
        </r>
      </text>
    </comment>
    <comment ref="Q15" authorId="4" shapeId="0" xr:uid="{00000000-0006-0000-0400-00001B000000}">
      <text>
        <r>
          <rPr>
            <b/>
            <sz val="9"/>
            <color indexed="81"/>
            <rFont val="Tahoma"/>
            <family val="2"/>
          </rPr>
          <t>VALOR COSECHAS DE AGUA 700´, Y ADICIÓN AGUA PARA VIVIR 180´
RECURSOS SALEN DE SUBACTIVIDADES 22123 Y 22124 (ADICIÓN) Y 33121 (S.A)</t>
        </r>
      </text>
    </comment>
    <comment ref="R15" authorId="4" shapeId="0" xr:uid="{00000000-0006-0000-0400-00001C000000}">
      <text>
        <r>
          <rPr>
            <b/>
            <sz val="9"/>
            <color indexed="81"/>
            <rFont val="Tahoma"/>
            <family val="2"/>
          </rPr>
          <t>VALOR COSECHAS DE AGUA 700´, Y ADICIÓN AGUA PARA VIVIR 180´
RECURSOS SALEN DE SUBACTIVIDADES 22123 Y 22124 (ADICIÓN) Y 33121 (S.A)</t>
        </r>
      </text>
    </comment>
    <comment ref="AH15" authorId="0" shapeId="0" xr:uid="{00000000-0006-0000-0400-00001D000000}">
      <text>
        <r>
          <rPr>
            <b/>
            <sz val="9"/>
            <color indexed="81"/>
            <rFont val="Tahoma"/>
            <family val="2"/>
          </rPr>
          <t>S.A 22123 265 MILLONES
S.A 33121 435 MILLONES</t>
        </r>
      </text>
    </comment>
    <comment ref="Q16" authorId="3" shapeId="0" xr:uid="{00000000-0006-0000-0400-00001E000000}">
      <text>
        <r>
          <rPr>
            <sz val="9"/>
            <color indexed="81"/>
            <rFont val="Tahoma"/>
            <family val="2"/>
          </rPr>
          <t>170 MILLONES INVERSIÓN 2024
255 MILLONES ADICIÓN Y CPS</t>
        </r>
      </text>
    </comment>
    <comment ref="AE16" authorId="2" shapeId="0" xr:uid="{00000000-0006-0000-0400-00001F000000}">
      <text>
        <r>
          <rPr>
            <b/>
            <sz val="9"/>
            <color indexed="81"/>
            <rFont val="Tahoma"/>
            <family val="2"/>
          </rPr>
          <t>RECURSOS APROPIADOS EN SUBACTIVIDAD 1.1.1.2.1</t>
        </r>
      </text>
    </comment>
    <comment ref="AE17" authorId="2" shapeId="0" xr:uid="{00000000-0006-0000-0400-000020000000}">
      <text>
        <r>
          <rPr>
            <sz val="9"/>
            <color indexed="81"/>
            <rFont val="Tahoma"/>
            <family val="2"/>
          </rPr>
          <t xml:space="preserve">S.A AMOYÁ LIBRE DE OTROS RUBROS 726 MILLONES
</t>
        </r>
      </text>
    </comment>
    <comment ref="Q18" authorId="2" shapeId="0" xr:uid="{00000000-0006-0000-0400-000021000000}">
      <text>
        <r>
          <rPr>
            <sz val="11"/>
            <color indexed="81"/>
            <rFont val="Tahoma"/>
            <family val="2"/>
          </rPr>
          <t xml:space="preserve">Se armonziaría con las subactividades 33112 y 33115
</t>
        </r>
      </text>
    </comment>
    <comment ref="AE19" authorId="2" shapeId="0" xr:uid="{00000000-0006-0000-0400-000022000000}">
      <text>
        <r>
          <rPr>
            <b/>
            <sz val="9"/>
            <color indexed="81"/>
            <rFont val="Tahoma"/>
            <family val="2"/>
          </rPr>
          <t>RECURSOS APROPIADOS EN SUBACTIVIDAD 33124</t>
        </r>
      </text>
    </comment>
    <comment ref="AF19" authorId="4" shapeId="0" xr:uid="{00000000-0006-0000-0400-000023000000}">
      <text>
        <r>
          <rPr>
            <sz val="9"/>
            <color indexed="81"/>
            <rFont val="Tahoma"/>
            <family val="2"/>
          </rPr>
          <t xml:space="preserve">$ 200´ PARA SEGUIMIENTO
$ 400´ PARA COMPRA
</t>
        </r>
      </text>
    </comment>
    <comment ref="Q21" authorId="2" shapeId="0" xr:uid="{00000000-0006-0000-0400-000024000000}">
      <text>
        <r>
          <rPr>
            <b/>
            <sz val="9"/>
            <color indexed="81"/>
            <rFont val="Tahoma"/>
            <family val="2"/>
          </rPr>
          <t>CPS: $ 100´ (SALEN DE 33112)</t>
        </r>
      </text>
    </comment>
    <comment ref="AE21" authorId="4" shapeId="0" xr:uid="{00000000-0006-0000-0400-000025000000}">
      <text>
        <r>
          <rPr>
            <b/>
            <sz val="9"/>
            <color indexed="81"/>
            <rFont val="Tahoma"/>
            <family val="2"/>
          </rPr>
          <t>APROPIADO EN META DE PLAN REGIONAL DE BIODIVERSIDAD (33112), Y EN BATIMETRÍA (33115)</t>
        </r>
      </text>
    </comment>
    <comment ref="AF21" authorId="2" shapeId="0" xr:uid="{00000000-0006-0000-0400-000026000000}">
      <text>
        <r>
          <rPr>
            <sz val="11"/>
            <color indexed="81"/>
            <rFont val="Tahoma"/>
            <family val="2"/>
          </rPr>
          <t xml:space="preserve">CPS: 250´ METAS ESPECIES INVASORAS Y ESPECIES AMENAZADAS.
VOC: $ 400´ 
</t>
        </r>
        <r>
          <rPr>
            <sz val="9"/>
            <color indexed="81"/>
            <rFont val="Tahoma"/>
            <family val="2"/>
          </rPr>
          <t xml:space="preserve">
</t>
        </r>
      </text>
    </comment>
    <comment ref="Q23" authorId="2" shapeId="0" xr:uid="{00000000-0006-0000-0400-000027000000}">
      <text>
        <r>
          <rPr>
            <b/>
            <sz val="9"/>
            <color indexed="81"/>
            <rFont val="Tahoma"/>
            <family val="2"/>
          </rPr>
          <t xml:space="preserve"> (SALEN DE 33112)</t>
        </r>
      </text>
    </comment>
    <comment ref="AE25" authorId="2" shapeId="0" xr:uid="{00000000-0006-0000-0400-000028000000}">
      <text>
        <r>
          <rPr>
            <b/>
            <sz val="9"/>
            <color indexed="81"/>
            <rFont val="Tahoma"/>
            <family val="2"/>
          </rPr>
          <t>Recursos apropiados en subactividad 33126</t>
        </r>
      </text>
    </comment>
    <comment ref="AF25" authorId="2" shapeId="0" xr:uid="{00000000-0006-0000-0400-000029000000}">
      <text>
        <r>
          <rPr>
            <b/>
            <sz val="9"/>
            <color indexed="81"/>
            <rFont val="Tahoma"/>
            <family val="2"/>
          </rPr>
          <t>VALOR EJECUTADO EN 2024 EN SUBACTIVIDAD 33126</t>
        </r>
      </text>
    </comment>
    <comment ref="AE26" authorId="0" shapeId="0" xr:uid="{00000000-0006-0000-0400-00002A000000}">
      <text>
        <r>
          <rPr>
            <b/>
            <sz val="9"/>
            <color indexed="81"/>
            <rFont val="Tahoma"/>
            <family val="2"/>
          </rPr>
          <t>APROPIADO EN META DE ÁREAS PROTEGIDAS (33119)</t>
        </r>
        <r>
          <rPr>
            <sz val="9"/>
            <color indexed="81"/>
            <rFont val="Tahoma"/>
            <family val="2"/>
          </rPr>
          <t xml:space="preserve">
</t>
        </r>
      </text>
    </comment>
    <comment ref="AF26" authorId="2" shapeId="0" xr:uid="{00000000-0006-0000-0400-00002B000000}">
      <text>
        <r>
          <rPr>
            <b/>
            <sz val="9"/>
            <color indexed="81"/>
            <rFont val="Tahoma"/>
            <family val="2"/>
          </rPr>
          <t>150 PLANIFICACIÓN
46.4 MILLONES CPS
210 MILLONES PALMA DE CERA (RESTAURACIÓN)
90 MILLONES PÁRAMOS</t>
        </r>
      </text>
    </comment>
    <comment ref="Q29" authorId="2" shapeId="0" xr:uid="{00000000-0006-0000-0400-00002C000000}">
      <text>
        <r>
          <rPr>
            <b/>
            <sz val="9"/>
            <color indexed="81"/>
            <rFont val="Tahoma"/>
            <family val="2"/>
          </rPr>
          <t>PROCESO PÁRAMOS Y ÁREAS PROTEGIDAS POR VIGENCIA FUTURA
CPS:  $ 240´</t>
        </r>
        <r>
          <rPr>
            <sz val="9"/>
            <color indexed="81"/>
            <rFont val="Tahoma"/>
            <family val="2"/>
          </rPr>
          <t xml:space="preserve">
</t>
        </r>
      </text>
    </comment>
    <comment ref="Z29" authorId="2" shapeId="0" xr:uid="{00000000-0006-0000-0400-00002D000000}">
      <text>
        <r>
          <rPr>
            <b/>
            <sz val="9"/>
            <color indexed="81"/>
            <rFont val="Tahoma"/>
            <family val="2"/>
          </rPr>
          <t>40O MILLONES SALEN POR AUSENCIA DE META</t>
        </r>
      </text>
    </comment>
    <comment ref="AE29" authorId="2" shapeId="0" xr:uid="{00000000-0006-0000-0400-00002E000000}">
      <text>
        <r>
          <rPr>
            <b/>
            <sz val="9"/>
            <color indexed="81"/>
            <rFont val="Tahoma"/>
            <family val="2"/>
          </rPr>
          <t>APROPIADO EN SUBACTIVIDAD 33114
60 MILLONES VALACIÓN ECONÓMICA
90 MILLONES PROVENIENTES DE LA 33119</t>
        </r>
      </text>
    </comment>
    <comment ref="AE30" authorId="2" shapeId="0" xr:uid="{00000000-0006-0000-0400-00002F000000}">
      <text>
        <r>
          <rPr>
            <b/>
            <sz val="9"/>
            <color indexed="81"/>
            <rFont val="Tahoma"/>
            <family val="2"/>
          </rPr>
          <t>VALOR APROPIADO EN SUBACTIVIDAD 33123</t>
        </r>
      </text>
    </comment>
    <comment ref="AF30" authorId="2" shapeId="0" xr:uid="{00000000-0006-0000-0400-000030000000}">
      <text>
        <r>
          <rPr>
            <b/>
            <sz val="9"/>
            <color indexed="81"/>
            <rFont val="Tahoma"/>
            <family val="2"/>
          </rPr>
          <t>VALOR APORTADO POR LA GOBERNACIÓN</t>
        </r>
      </text>
    </comment>
    <comment ref="AE31" authorId="0" shapeId="0" xr:uid="{00000000-0006-0000-0400-000031000000}">
      <text>
        <r>
          <rPr>
            <b/>
            <sz val="12"/>
            <color indexed="81"/>
            <rFont val="Tahoma"/>
            <family val="2"/>
          </rPr>
          <t xml:space="preserve">Recursps del PARB y de BATIMESTRIA Apropiados en 2024
</t>
        </r>
      </text>
    </comment>
    <comment ref="Q32" authorId="0" shapeId="0" xr:uid="{00000000-0006-0000-0400-000032000000}">
      <text>
        <r>
          <rPr>
            <b/>
            <sz val="9"/>
            <color indexed="81"/>
            <rFont val="Tahoma"/>
            <family val="2"/>
          </rPr>
          <t>ORIGEN RESTAURACIÓN ECOLÓGICA 33121</t>
        </r>
      </text>
    </comment>
    <comment ref="R32" authorId="0" shapeId="0" xr:uid="{00000000-0006-0000-0400-000033000000}">
      <text>
        <r>
          <rPr>
            <b/>
            <sz val="9"/>
            <color indexed="81"/>
            <rFont val="Tahoma"/>
            <family val="2"/>
          </rPr>
          <t>ORIGEN RESTAURACIÓN ECOLÓGICA 33121</t>
        </r>
      </text>
    </comment>
    <comment ref="Q33" authorId="0" shapeId="0" xr:uid="{00000000-0006-0000-0400-000034000000}">
      <text>
        <r>
          <rPr>
            <sz val="9"/>
            <color indexed="81"/>
            <rFont val="Tahoma"/>
            <family val="2"/>
          </rPr>
          <t xml:space="preserve">ORIGEN RESTAURACIÓN ECOLÓGICA
</t>
        </r>
      </text>
    </comment>
    <comment ref="R33" authorId="0" shapeId="0" xr:uid="{00000000-0006-0000-0400-000035000000}">
      <text>
        <r>
          <rPr>
            <sz val="9"/>
            <color indexed="81"/>
            <rFont val="Tahoma"/>
            <family val="2"/>
          </rPr>
          <t xml:space="preserve">ORIGEN RESTAURACIÓN ECOLÓGICA
</t>
        </r>
      </text>
    </comment>
    <comment ref="AE33" authorId="2" shapeId="0" xr:uid="{00000000-0006-0000-0400-000036000000}">
      <text>
        <r>
          <rPr>
            <b/>
            <sz val="9"/>
            <color indexed="81"/>
            <rFont val="Tahoma"/>
            <family val="2"/>
          </rPr>
          <t xml:space="preserve">VALOR APROPIADO EN SUBACTIVIDAD 33121
210 MILLONES PROVENIENTES </t>
        </r>
      </text>
    </comment>
    <comment ref="AF33" authorId="0" shapeId="0" xr:uid="{00000000-0006-0000-0400-000037000000}">
      <text>
        <r>
          <rPr>
            <b/>
            <sz val="9"/>
            <color indexed="81"/>
            <rFont val="Tahoma"/>
            <family val="2"/>
          </rPr>
          <t>450 MILLONES FONDO DE AGUA
200 MILLONES PLANTULAS
250 MILLONES PARCELAS DE MONITOREO
1500 MILLONES HECTAREAS CON PROCESOS DE RESTAURACIÓN 
435 MILLONES COSECHAS DE AGUA
280,587,500 CDP EXPEDIDOS
PALMA DE CERA: 400 MILLONES</t>
        </r>
      </text>
    </comment>
    <comment ref="Q34" authorId="0" shapeId="0" xr:uid="{00000000-0006-0000-0400-000038000000}">
      <text>
        <r>
          <rPr>
            <b/>
            <sz val="9"/>
            <color indexed="81"/>
            <rFont val="Tahoma"/>
            <family val="2"/>
          </rPr>
          <t>Origen Restauración ecológica SUBACTIVIDAD 33121</t>
        </r>
      </text>
    </comment>
    <comment ref="R34" authorId="0" shapeId="0" xr:uid="{00000000-0006-0000-0400-000039000000}">
      <text>
        <r>
          <rPr>
            <b/>
            <sz val="9"/>
            <color indexed="81"/>
            <rFont val="Tahoma"/>
            <family val="2"/>
          </rPr>
          <t xml:space="preserve">Origen Restauración ecológica </t>
        </r>
      </text>
    </comment>
    <comment ref="Q36" authorId="0" shapeId="0" xr:uid="{00000000-0006-0000-0400-00003A000000}">
      <text>
        <r>
          <rPr>
            <b/>
            <sz val="9"/>
            <color indexed="81"/>
            <rFont val="Tahoma"/>
            <family val="2"/>
          </rPr>
          <t>FALTAN 150 MILLONES</t>
        </r>
      </text>
    </comment>
    <comment ref="R36" authorId="0" shapeId="0" xr:uid="{00000000-0006-0000-0400-00003B000000}">
      <text>
        <r>
          <rPr>
            <b/>
            <sz val="9"/>
            <color indexed="81"/>
            <rFont val="Tahoma"/>
            <family val="2"/>
          </rPr>
          <t>FALTAN 150 MILLONES</t>
        </r>
      </text>
    </comment>
    <comment ref="AE36" authorId="2" shapeId="0" xr:uid="{00000000-0006-0000-0400-00003C000000}">
      <text>
        <r>
          <rPr>
            <b/>
            <sz val="9"/>
            <color indexed="81"/>
            <rFont val="Tahoma"/>
            <family val="2"/>
          </rPr>
          <t>Valor apropiado en subactividad 31123</t>
        </r>
        <r>
          <rPr>
            <sz val="9"/>
            <color indexed="81"/>
            <rFont val="Tahoma"/>
            <family val="2"/>
          </rPr>
          <t xml:space="preserve">
</t>
        </r>
      </text>
    </comment>
    <comment ref="Q37" authorId="2" shapeId="0" xr:uid="{00000000-0006-0000-0400-00003D000000}">
      <text>
        <r>
          <rPr>
            <b/>
            <sz val="9"/>
            <color indexed="81"/>
            <rFont val="Tahoma"/>
            <family val="2"/>
          </rPr>
          <t xml:space="preserve">POSIBLE FINANCIACIÓN: SALDOS (S.A) SUBACTIVIDADES 22124, 31127, 33112, 33126 </t>
        </r>
      </text>
    </comment>
    <comment ref="Q40" authorId="0" shapeId="0" xr:uid="{00000000-0006-0000-0400-00003E000000}">
      <text>
        <r>
          <rPr>
            <b/>
            <sz val="9"/>
            <color indexed="81"/>
            <rFont val="Tahoma"/>
            <family val="2"/>
          </rPr>
          <t>CPS APROPIACIÓN SOCIAL A ABRIL</t>
        </r>
        <r>
          <rPr>
            <sz val="9"/>
            <color indexed="81"/>
            <rFont val="Tahoma"/>
            <family val="2"/>
          </rPr>
          <t xml:space="preserve">
</t>
        </r>
      </text>
    </comment>
    <comment ref="R40" authorId="0" shapeId="0" xr:uid="{00000000-0006-0000-0400-00003F000000}">
      <text>
        <r>
          <rPr>
            <b/>
            <sz val="9"/>
            <color indexed="81"/>
            <rFont val="Tahoma"/>
            <family val="2"/>
          </rPr>
          <t>CPS APROPIACIÓN SOCIAL A ABRIL</t>
        </r>
        <r>
          <rPr>
            <sz val="9"/>
            <color indexed="81"/>
            <rFont val="Tahoma"/>
            <family val="2"/>
          </rPr>
          <t xml:space="preserve">
</t>
        </r>
      </text>
    </comment>
    <comment ref="AF40" authorId="0" shapeId="0" xr:uid="{00000000-0006-0000-0400-000040000000}">
      <text>
        <r>
          <rPr>
            <sz val="10"/>
            <color indexed="81"/>
            <rFont val="Tahoma"/>
            <family val="2"/>
          </rPr>
          <t xml:space="preserve">$1,099,790,000 Convenio Corcuencas
$378,562,500 CPS
$18,200,000 MINIMA PENDONES
300 MILONES LOGÍSTICA
$ 500 millones procedas Mujeres
$ 100 millones escuela siembre tu futuro
$ 200 millones redes ambientales
$ 350 millones procedas indigenas
$ 250 millones procedas Manos al Agua
$ 200 millones procedas ONG
$ 500 millones procedas JAC
$ 800 millones Procedas Convenios ONG
$ 400 Millones Señoras Cañón
AMOYÁ PARA SANEAMIENTO 264 MILLONES
</t>
        </r>
        <r>
          <rPr>
            <sz val="9"/>
            <color indexed="81"/>
            <rFont val="Tahoma"/>
            <family val="2"/>
          </rPr>
          <t xml:space="preserve">
</t>
        </r>
      </text>
    </comment>
    <comment ref="Q41" authorId="0" shapeId="0" xr:uid="{00000000-0006-0000-0400-000041000000}">
      <text>
        <r>
          <rPr>
            <b/>
            <sz val="9"/>
            <color indexed="81"/>
            <rFont val="Tahoma"/>
            <family val="2"/>
          </rPr>
          <t>$1,099,790,000 Convenio Corcuencas
$ 500 millones procedas Mujeres
$ 350 millones procedas indigenas
$ 250 millones procedas Manos al Agua
$ 200 millones procedas ONG
$ 500 millones procedas JAC
$ 800 millones Procedas Convenios ONG
$ 400 Millones Señoras Cañón</t>
        </r>
        <r>
          <rPr>
            <sz val="9"/>
            <color indexed="81"/>
            <rFont val="Tahoma"/>
            <family val="2"/>
          </rPr>
          <t xml:space="preserve">
</t>
        </r>
      </text>
    </comment>
    <comment ref="R41" authorId="0" shapeId="0" xr:uid="{00000000-0006-0000-0400-000042000000}">
      <text>
        <r>
          <rPr>
            <b/>
            <sz val="9"/>
            <color indexed="81"/>
            <rFont val="Tahoma"/>
            <family val="2"/>
          </rPr>
          <t>$1,099,790,000 Convenio Corcuencas
$ 500 millones procedas Mujeres
$ 350 millones procedas indigenas
$ 250 millones procedas Manos al Agua
$ 200 millones procedas ONG
$ 500 millones procedas JAC
$ 800 millones Procedas Convenios ONG
$ 400 Millones Señoras Cañón</t>
        </r>
        <r>
          <rPr>
            <sz val="9"/>
            <color indexed="81"/>
            <rFont val="Tahoma"/>
            <family val="2"/>
          </rPr>
          <t xml:space="preserve">
</t>
        </r>
      </text>
    </comment>
    <comment ref="Q44" authorId="0" shapeId="0" xr:uid="{00000000-0006-0000-0400-000043000000}">
      <text>
        <r>
          <rPr>
            <b/>
            <sz val="9"/>
            <color indexed="81"/>
            <rFont val="Tahoma"/>
            <family val="2"/>
          </rPr>
          <t xml:space="preserve">
RECURSOS DEL SGR INCORPORADOS AL PRESUPUESTO 2024
PARCIAL CONTRATO PENDONES 20´</t>
        </r>
        <r>
          <rPr>
            <sz val="9"/>
            <color indexed="81"/>
            <rFont val="Tahoma"/>
            <family val="2"/>
          </rPr>
          <t xml:space="preserve">
</t>
        </r>
      </text>
    </comment>
    <comment ref="R44" authorId="0" shapeId="0" xr:uid="{00000000-0006-0000-0400-000044000000}">
      <text>
        <r>
          <rPr>
            <b/>
            <sz val="9"/>
            <color indexed="81"/>
            <rFont val="Tahoma"/>
            <family val="2"/>
          </rPr>
          <t xml:space="preserve">
RECURSOS DEL SGR INCORPORADOS AL PRESUPUESTO 2024
PARCIAL CONTRATO PENDONES</t>
        </r>
        <r>
          <rPr>
            <sz val="9"/>
            <color indexed="81"/>
            <rFont val="Tahoma"/>
            <family val="2"/>
          </rPr>
          <t xml:space="preserve">
</t>
        </r>
      </text>
    </comment>
    <comment ref="T44" authorId="0" shapeId="0" xr:uid="{00000000-0006-0000-0400-000045000000}">
      <text>
        <r>
          <rPr>
            <sz val="14"/>
            <color indexed="81"/>
            <rFont val="Tahoma"/>
            <family val="2"/>
          </rPr>
          <t xml:space="preserve">CONVOCATORIA N° 0034
</t>
        </r>
      </text>
    </comment>
    <comment ref="R45" authorId="0" shapeId="0" xr:uid="{00000000-0006-0000-0400-000046000000}">
      <text>
        <r>
          <rPr>
            <b/>
            <sz val="9"/>
            <color indexed="81"/>
            <rFont val="Tahoma"/>
            <family val="2"/>
          </rPr>
          <t>Recursos salen de  la 22124
Huertas adiciones: 488 mill
huertas nuevo: 400 mil
Convenio con Gobernación: 100 mill
silvopastoril: 300 mill.
biofábricas: 300 mill.
CPS 337´
*</t>
        </r>
      </text>
    </comment>
    <comment ref="S45" authorId="2" shapeId="0" xr:uid="{00000000-0006-0000-0400-000047000000}">
      <text>
        <r>
          <rPr>
            <b/>
            <sz val="9"/>
            <color indexed="81"/>
            <rFont val="Tahoma"/>
            <family val="2"/>
          </rPr>
          <t>CORTOLIMA:
577 MILLONES CONVOCOTARIA N° 0032</t>
        </r>
      </text>
    </comment>
    <comment ref="AE45" authorId="0" shapeId="0" xr:uid="{00000000-0006-0000-0400-000048000000}">
      <text>
        <r>
          <rPr>
            <b/>
            <sz val="11"/>
            <color indexed="81"/>
            <rFont val="Tahoma"/>
            <family val="2"/>
          </rPr>
          <t xml:space="preserve">APROPIADO EN 22124
SALEN:
HUERTAS: $ 488´
CONVENIO HUERTASPOBLACIÓN DISCAPACIDAD: $100 ´
COSECHAS DE AGUA: $ 400´
SILVOPASTORIL: $ 300´
BIOFÁBRICAS: 300´
HORNILLAS: $ 300´
FILTROS VERDES: 300´
ADICIÓN AGUA PARA VIVIR 180´
CPS: 337´
</t>
        </r>
      </text>
    </comment>
    <comment ref="AF45" authorId="2" shapeId="0" xr:uid="{00000000-0006-0000-0400-000049000000}">
      <text>
        <r>
          <rPr>
            <b/>
            <sz val="9"/>
            <color indexed="81"/>
            <rFont val="Tahoma"/>
            <family val="2"/>
          </rPr>
          <t>HUERTAS ADICIONES: $ 488´
HUERTAS NUEVO: 400´
SILVOPASTORIL: $ 300´</t>
        </r>
        <r>
          <rPr>
            <sz val="9"/>
            <color indexed="81"/>
            <rFont val="Tahoma"/>
            <family val="2"/>
          </rPr>
          <t xml:space="preserve">
HORNILLAS: $ 300 ´
FILTROS VERDES: $300 ´
BIOFÁBRICAS:  $  300 ´
ADICIÓN AGUA PARA VIVIR: $ 180´*
CONVENIO GOBERNACIÓN POBLACIÓN DISCAPACIDAD: 100´
CPS:  $ 337´
CPS 91412200
AMOYÁ PARA SANEAMIENTO 155,503,900</t>
        </r>
      </text>
    </comment>
    <comment ref="Q46" authorId="0" shapeId="0" xr:uid="{00000000-0006-0000-0400-00004A000000}">
      <text>
        <r>
          <rPr>
            <sz val="10"/>
            <color indexed="81"/>
            <rFont val="Tahoma"/>
            <family val="2"/>
          </rPr>
          <t>RECURSOS SALEN DE 
SUBACTIVIDAD 22111</t>
        </r>
      </text>
    </comment>
    <comment ref="AE46" authorId="2" shapeId="0" xr:uid="{00000000-0006-0000-0400-00004B000000}">
      <text>
        <r>
          <rPr>
            <b/>
            <sz val="9"/>
            <color indexed="81"/>
            <rFont val="Tahoma"/>
            <family val="2"/>
          </rPr>
          <t>VALOR APROPIADO EN LA 22111</t>
        </r>
      </text>
    </comment>
    <comment ref="AF46" authorId="2" shapeId="0" xr:uid="{00000000-0006-0000-0400-00004C000000}">
      <text>
        <r>
          <rPr>
            <b/>
            <sz val="9"/>
            <color indexed="81"/>
            <rFont val="Tahoma"/>
            <family val="2"/>
          </rPr>
          <t>CPS: $ 280´
NEGOCIOS VERDES: $ 706´</t>
        </r>
      </text>
    </comment>
    <comment ref="Q47" authorId="0" shapeId="0" xr:uid="{00000000-0006-0000-0400-00004D000000}">
      <text>
        <r>
          <rPr>
            <sz val="10"/>
            <color indexed="81"/>
            <rFont val="Tahoma"/>
            <family val="2"/>
          </rPr>
          <t>RECURSOS SALEN DE 
SUBACTIVIDAD 22111</t>
        </r>
      </text>
    </comment>
    <comment ref="Q48" authorId="0" shapeId="0" xr:uid="{00000000-0006-0000-0400-00004E000000}">
      <text>
        <r>
          <rPr>
            <sz val="10"/>
            <color indexed="81"/>
            <rFont val="Tahoma"/>
            <family val="2"/>
          </rPr>
          <t>RECURSOS SALEN DE 
SUBACTIVIDAD 22111</t>
        </r>
      </text>
    </comment>
    <comment ref="T48" authorId="0" shapeId="0" xr:uid="{00000000-0006-0000-0400-00004F000000}">
      <text>
        <r>
          <rPr>
            <b/>
            <sz val="9"/>
            <color indexed="81"/>
            <rFont val="Tahoma"/>
            <family val="2"/>
          </rPr>
          <t xml:space="preserve">CONVOCATORIA N° 0034 
665 BIOPRODUCTOS
807 TURISMO DE NATURALEZA
</t>
        </r>
      </text>
    </comment>
    <comment ref="U48" authorId="0" shapeId="0" xr:uid="{00000000-0006-0000-0400-000050000000}">
      <text>
        <r>
          <rPr>
            <b/>
            <sz val="9"/>
            <color indexed="81"/>
            <rFont val="Tahoma"/>
            <family val="2"/>
          </rPr>
          <t xml:space="preserve">CONVOCATORIA N° 0034 
665 BIOPRODUCTOS
807 TURISMO DE NATURALEZA
</t>
        </r>
      </text>
    </comment>
    <comment ref="V48" authorId="0" shapeId="0" xr:uid="{00000000-0006-0000-0400-000051000000}">
      <text>
        <r>
          <rPr>
            <b/>
            <sz val="9"/>
            <color indexed="81"/>
            <rFont val="Tahoma"/>
            <family val="2"/>
          </rPr>
          <t xml:space="preserve">CONVOCATORIA N° 0034 
665 BIOPRODUCTOS
807 TURISMO DE NATURALEZA
</t>
        </r>
      </text>
    </comment>
    <comment ref="Q49" authorId="2" shapeId="0" xr:uid="{00000000-0006-0000-0400-000052000000}">
      <text>
        <r>
          <rPr>
            <b/>
            <sz val="9"/>
            <color indexed="81"/>
            <rFont val="Tahoma"/>
            <family val="2"/>
          </rPr>
          <t>RECURSOS SALEN DE LA SUBACTIVIDAD 2.2.1.2.3</t>
        </r>
      </text>
    </comment>
    <comment ref="Q50" authorId="0" shapeId="0" xr:uid="{00000000-0006-0000-0400-000053000000}">
      <text>
        <r>
          <rPr>
            <b/>
            <sz val="9"/>
            <color indexed="81"/>
            <rFont val="Tahoma"/>
            <family val="2"/>
          </rPr>
          <t>SALEN DE LA 22124
HORNILLAS: 300´
FILTROS VERDES: 300´
CPS: 300´</t>
        </r>
        <r>
          <rPr>
            <sz val="9"/>
            <color indexed="81"/>
            <rFont val="Tahoma"/>
            <family val="2"/>
          </rPr>
          <t xml:space="preserve">
</t>
        </r>
      </text>
    </comment>
    <comment ref="R50" authorId="0" shapeId="0" xr:uid="{00000000-0006-0000-0400-000054000000}">
      <text>
        <r>
          <rPr>
            <b/>
            <sz val="9"/>
            <color indexed="81"/>
            <rFont val="Tahoma"/>
            <family val="2"/>
          </rPr>
          <t>SALEN DE LA 22124
HORNILLAS: 300´
FILTROS VERDES: 300´
CPS: 337´</t>
        </r>
        <r>
          <rPr>
            <sz val="9"/>
            <color indexed="81"/>
            <rFont val="Tahoma"/>
            <family val="2"/>
          </rPr>
          <t xml:space="preserve">
</t>
        </r>
      </text>
    </comment>
    <comment ref="Q51" authorId="0" shapeId="0" xr:uid="{00000000-0006-0000-0400-000055000000}">
      <text>
        <r>
          <rPr>
            <sz val="12"/>
            <color indexed="81"/>
            <rFont val="Tahoma"/>
            <family val="2"/>
          </rPr>
          <t>ESTUFAS ECOEFICIENTES, SALE DE LA SUBACTIVIDAD 22123</t>
        </r>
      </text>
    </comment>
    <comment ref="R51" authorId="0" shapeId="0" xr:uid="{00000000-0006-0000-0400-000056000000}">
      <text>
        <r>
          <rPr>
            <sz val="12"/>
            <color indexed="81"/>
            <rFont val="Tahoma"/>
            <family val="2"/>
          </rPr>
          <t>ESTUFAS ECOEFICIENTES, SALE DE LA SUBACTIVIDAD 22123</t>
        </r>
      </text>
    </comment>
    <comment ref="Q52" authorId="0" shapeId="0" xr:uid="{00000000-0006-0000-0400-000057000000}">
      <text>
        <r>
          <rPr>
            <sz val="12"/>
            <color indexed="81"/>
            <rFont val="Tahoma"/>
            <family val="2"/>
          </rPr>
          <t>ESTUFAS ECOEFICIENTES, SALE DE LA SUBACTIVIDAD 22123
Estufas: 850 mill
Estufas 450 mill:
Convenio 80 cortolima
personal 208 mill</t>
        </r>
      </text>
    </comment>
    <comment ref="R52" authorId="0" shapeId="0" xr:uid="{00000000-0006-0000-0400-000058000000}">
      <text>
        <r>
          <rPr>
            <sz val="12"/>
            <color indexed="81"/>
            <rFont val="Tahoma"/>
            <family val="2"/>
          </rPr>
          <t>ESTUFAS ECOEFICIENTES, SALE DE LA SUBACTIVIDAD 22123
Estufas: 850 mill
Estufas 450 mill:
Convenio 80 cortolima
personal 208 mill</t>
        </r>
      </text>
    </comment>
    <comment ref="AE52" authorId="2" shapeId="0" xr:uid="{00000000-0006-0000-0400-000059000000}">
      <text>
        <r>
          <rPr>
            <b/>
            <sz val="9"/>
            <color indexed="81"/>
            <rFont val="Tahoma"/>
            <family val="2"/>
          </rPr>
          <t>RECURSOS APROPIADOS EN SUBACTIVIDAD 2.2.1.2.3</t>
        </r>
      </text>
    </comment>
    <comment ref="AF52" authorId="0" shapeId="0" xr:uid="{00000000-0006-0000-0400-00005A000000}">
      <text>
        <r>
          <rPr>
            <b/>
            <sz val="11"/>
            <color indexed="81"/>
            <rFont val="Tahoma"/>
            <family val="2"/>
          </rPr>
          <t xml:space="preserve">Cosechas de Agua: 265´
Estufas: 850 mill.
Estufas 450 mill:
Convenio 80  Mill cortolima
personal 208 mill
Estrategia Cuida tu casa: $ 200´
SE AMOYÁ SANEAMIENTO 150 MILLONES
</t>
        </r>
        <r>
          <rPr>
            <sz val="11"/>
            <color indexed="81"/>
            <rFont val="Tahoma"/>
            <family val="2"/>
          </rPr>
          <t xml:space="preserve">
</t>
        </r>
      </text>
    </comment>
    <comment ref="AF53" authorId="0" shapeId="0" xr:uid="{00000000-0006-0000-0400-00005B000000}">
      <text>
        <r>
          <rPr>
            <b/>
            <sz val="10"/>
            <color indexed="81"/>
            <rFont val="Tahoma"/>
            <family val="2"/>
          </rPr>
          <t xml:space="preserve">500 MILLONES AVR
150 MILLONES MANOS AL AGUA
400 MILLONES CONSULTORÍA MURO DE HERVEO
150 MILLONES BOMBEROS
250 MILLONES MAQUINARIA AMARILLA
18 MILLONES PENDONES
230 MILLONES CPS 
250 MILLONES AMOYÁ PARA SANEAMIENTO </t>
        </r>
      </text>
    </comment>
    <comment ref="AH56" authorId="2" shapeId="0" xr:uid="{00000000-0006-0000-0400-00005C000000}">
      <text>
        <r>
          <rPr>
            <b/>
            <sz val="9"/>
            <color indexed="81"/>
            <rFont val="Tahoma"/>
            <family val="2"/>
          </rPr>
          <t>SUSTUTUIR DESTINACIÓN ESPECÍFICA</t>
        </r>
      </text>
    </comment>
    <comment ref="AE58" authorId="2" shapeId="0" xr:uid="{00000000-0006-0000-0400-00005D000000}">
      <text>
        <r>
          <rPr>
            <b/>
            <sz val="9"/>
            <color indexed="81"/>
            <rFont val="Tahoma"/>
            <family val="2"/>
          </rPr>
          <t xml:space="preserve">RECURSOS APROPIADOS EN 33117 VALORACIÓN ECONÓMICA
SALEN 60 MILLONES PARA PÁRAMOS
</t>
        </r>
      </text>
    </comment>
    <comment ref="Q61" authorId="3" shapeId="0" xr:uid="{00000000-0006-0000-0400-00005E000000}">
      <text>
        <r>
          <rPr>
            <b/>
            <sz val="10"/>
            <color indexed="81"/>
            <rFont val="Tahoma"/>
            <family val="2"/>
          </rPr>
          <t xml:space="preserve">RECURSOS SALEN DL PROYECTO 4113
1. correos e 160 mill
contratistas: 400 mill
2. sysman: 140 mill
3. página web: 11 mill
4. licencias antivirus: 35 mill
5. Renovación y/o mantenimiento del parque tecnológico: 150 mill
6. Plataforma: 400 mill
7. SIG: 400 mill 
</t>
        </r>
      </text>
    </comment>
    <comment ref="AE61" authorId="2" shapeId="0" xr:uid="{00000000-0006-0000-0400-00005F000000}">
      <text>
        <r>
          <rPr>
            <b/>
            <sz val="9"/>
            <color indexed="81"/>
            <rFont val="Tahoma"/>
            <family val="2"/>
          </rPr>
          <t>RECURSOS APROPIADOS EN ACTIVIDAD 4.1.1.3</t>
        </r>
      </text>
    </comment>
    <comment ref="Q62" authorId="3" shapeId="0" xr:uid="{00000000-0006-0000-0400-000060000000}">
      <text>
        <r>
          <rPr>
            <b/>
            <sz val="9"/>
            <color indexed="81"/>
            <rFont val="Tahoma"/>
            <family val="2"/>
          </rPr>
          <t>SISTEMA DE GESTIÓN DOCUMENTAL</t>
        </r>
        <r>
          <rPr>
            <sz val="9"/>
            <color indexed="81"/>
            <rFont val="Tahoma"/>
            <family val="2"/>
          </rPr>
          <t xml:space="preserve">
</t>
        </r>
      </text>
    </comment>
    <comment ref="Q63" authorId="3" shapeId="0" xr:uid="{00000000-0006-0000-0400-000061000000}">
      <text>
        <r>
          <rPr>
            <b/>
            <sz val="9"/>
            <color indexed="81"/>
            <rFont val="Tahoma"/>
            <family val="2"/>
          </rPr>
          <t>RECURSOS SALEN DEL PROYECTO 4113</t>
        </r>
        <r>
          <rPr>
            <sz val="9"/>
            <color indexed="81"/>
            <rFont val="Tahoma"/>
            <family val="2"/>
          </rPr>
          <t xml:space="preserve">
</t>
        </r>
      </text>
    </comment>
    <comment ref="Q64" authorId="0" shapeId="0" xr:uid="{00000000-0006-0000-0400-000062000000}">
      <text>
        <r>
          <rPr>
            <b/>
            <sz val="9"/>
            <color indexed="81"/>
            <rFont val="Tahoma"/>
            <family val="2"/>
          </rPr>
          <t>SE ARMONIZA CON 41121Y 44113</t>
        </r>
      </text>
    </comment>
    <comment ref="AE65" authorId="2" shapeId="0" xr:uid="{00000000-0006-0000-0400-000063000000}">
      <text>
        <r>
          <rPr>
            <b/>
            <sz val="9"/>
            <color indexed="81"/>
            <rFont val="Tahoma"/>
            <family val="2"/>
          </rPr>
          <t>RECURSOS APROPIADOS EN SUBACTIVIDAD 4.1.1.1.1</t>
        </r>
      </text>
    </comment>
    <comment ref="AE66" authorId="2" shapeId="0" xr:uid="{00000000-0006-0000-0400-000064000000}">
      <text>
        <r>
          <rPr>
            <b/>
            <sz val="9"/>
            <color indexed="81"/>
            <rFont val="Tahoma"/>
            <family val="2"/>
          </rPr>
          <t>RECURSOS APROPIADOS EN MIPG</t>
        </r>
      </text>
    </comment>
    <comment ref="AF66" authorId="0" shapeId="0" xr:uid="{00000000-0006-0000-0400-000065000000}">
      <text>
        <r>
          <rPr>
            <b/>
            <sz val="9"/>
            <color indexed="81"/>
            <rFont val="Tahoma"/>
            <family val="2"/>
          </rPr>
          <t xml:space="preserve">$ 1.234´ MIPG (300 DE LOGÍSTICA)
$ 1.000´ RELACIONAMIENTO INSTITUCIONAL (300 DE LOGISTICA)
$ 265.600.000 META DE FORTALECIMIENTO
</t>
        </r>
        <r>
          <rPr>
            <sz val="9"/>
            <color indexed="81"/>
            <rFont val="Tahoma"/>
            <family val="2"/>
          </rPr>
          <t xml:space="preserve">
</t>
        </r>
      </text>
    </comment>
    <comment ref="AE67" authorId="2" shapeId="0" xr:uid="{00000000-0006-0000-0400-000066000000}">
      <text>
        <r>
          <rPr>
            <b/>
            <sz val="9"/>
            <color indexed="81"/>
            <rFont val="Tahoma"/>
            <family val="2"/>
          </rPr>
          <t>APROPIADO EN SUBACTIVIDAD 41122</t>
        </r>
      </text>
    </comment>
    <comment ref="AE68" authorId="2" shapeId="0" xr:uid="{00000000-0006-0000-0400-000067000000}">
      <text>
        <r>
          <rPr>
            <b/>
            <sz val="9"/>
            <color indexed="81"/>
            <rFont val="Tahoma"/>
            <family val="2"/>
          </rPr>
          <t>RECURSOS APROPIADOS EN SUBACTIVIDAD 3.1.1.1.1</t>
        </r>
      </text>
    </comment>
    <comment ref="Q69" authorId="0" shapeId="0" xr:uid="{00000000-0006-0000-0400-000068000000}">
      <text>
        <r>
          <rPr>
            <sz val="9"/>
            <color indexed="81"/>
            <rFont val="Tahoma"/>
            <family val="2"/>
          </rPr>
          <t xml:space="preserve">RECURSOS SALEN DE LA 41121
</t>
        </r>
      </text>
    </comment>
    <comment ref="Q70" authorId="0" shapeId="0" xr:uid="{00000000-0006-0000-0400-000069000000}">
      <text>
        <r>
          <rPr>
            <b/>
            <sz val="9"/>
            <color indexed="81"/>
            <rFont val="Tahoma"/>
            <family val="2"/>
          </rPr>
          <t xml:space="preserve">RECURSOS SALEN DE LA 41142 </t>
        </r>
      </text>
    </comment>
    <comment ref="R70" authorId="0" shapeId="0" xr:uid="{00000000-0006-0000-0400-00006A000000}">
      <text>
        <r>
          <rPr>
            <b/>
            <sz val="9"/>
            <color indexed="81"/>
            <rFont val="Tahoma"/>
            <family val="2"/>
          </rPr>
          <t xml:space="preserve">RECURSOS SALEN DE LA 41142 </t>
        </r>
      </text>
    </comment>
    <comment ref="Q71" authorId="0" shapeId="0" xr:uid="{00000000-0006-0000-0400-00006B000000}">
      <text>
        <r>
          <rPr>
            <sz val="9"/>
            <color rgb="FF000000"/>
            <rFont val="Tahoma"/>
            <family val="2"/>
          </rPr>
          <t>1250</t>
        </r>
        <r>
          <rPr>
            <sz val="9"/>
            <color rgb="FF000000"/>
            <rFont val="Tahoma"/>
            <family val="2"/>
          </rPr>
          <t>´</t>
        </r>
        <r>
          <rPr>
            <sz val="9"/>
            <color rgb="FF000000"/>
            <rFont val="Tahoma"/>
            <family val="2"/>
          </rPr>
          <t xml:space="preserve"> SALEN DE 41121
</t>
        </r>
        <r>
          <rPr>
            <sz val="9"/>
            <color rgb="FF000000"/>
            <rFont val="Tahoma"/>
            <family val="2"/>
          </rPr>
          <t xml:space="preserve">
</t>
        </r>
        <r>
          <rPr>
            <sz val="9"/>
            <color rgb="FF000000"/>
            <rFont val="Tahoma"/>
            <family val="2"/>
          </rPr>
          <t>250</t>
        </r>
        <r>
          <rPr>
            <sz val="9"/>
            <color rgb="FF000000"/>
            <rFont val="Tahoma"/>
            <family val="2"/>
          </rPr>
          <t>´</t>
        </r>
        <r>
          <rPr>
            <sz val="9"/>
            <color rgb="FF000000"/>
            <rFont val="Tahoma"/>
            <family val="2"/>
          </rPr>
          <t xml:space="preserve">MILLONES PENDIENTES POR DEFINIR ORIGEN
</t>
        </r>
      </text>
    </comment>
    <comment ref="Q73" authorId="0" shapeId="0" xr:uid="{00000000-0006-0000-0400-00006C000000}">
      <text>
        <r>
          <rPr>
            <b/>
            <sz val="9"/>
            <color indexed="81"/>
            <rFont val="Tahoma"/>
            <family val="2"/>
          </rPr>
          <t>SE INCLUYEN APROPIACIONES DE SEGUIMIENTO, Y DE MONITOREO DE LA CALIDAD DEL AGUA, Y ATENCIÓN A PQR</t>
        </r>
        <r>
          <rPr>
            <sz val="9"/>
            <color indexed="81"/>
            <rFont val="Tahoma"/>
            <family val="2"/>
          </rPr>
          <t xml:space="preserve">
</t>
        </r>
      </text>
    </comment>
    <comment ref="R73" authorId="0" shapeId="0" xr:uid="{00000000-0006-0000-0400-00006D000000}">
      <text>
        <r>
          <rPr>
            <b/>
            <sz val="9"/>
            <color indexed="81"/>
            <rFont val="Tahoma"/>
            <family val="2"/>
          </rPr>
          <t xml:space="preserve">SE INCLUYEN APROPIACIONES DE SEGUIMIENTO, Y DE MONITOREO DE LA CALIDAD DEL AGUA, Y ATENCIÓN A PQR
600 MILLONES DE SA LIBRE </t>
        </r>
        <r>
          <rPr>
            <sz val="9"/>
            <color indexed="81"/>
            <rFont val="Tahoma"/>
            <family val="2"/>
          </rPr>
          <t xml:space="preserve">
</t>
        </r>
      </text>
    </comment>
    <comment ref="AE73" authorId="2" shapeId="0" xr:uid="{00000000-0006-0000-0400-00006E000000}">
      <text>
        <r>
          <rPr>
            <b/>
            <sz val="9"/>
            <color indexed="81"/>
            <rFont val="Tahoma"/>
            <family val="2"/>
          </rPr>
          <t>RECURSOS APROPIADOS EN SUBACTIVIDAD MONITOREO CALIDAD DEL AGUA, ATENCIÓN A PQR, Y SEGUIMIENTO
600 MILLONES DE SA LIBRES:
22124 396 MILLONES
23131 204 MILLONES</t>
        </r>
      </text>
    </comment>
    <comment ref="AF73" authorId="0" shapeId="0" xr:uid="{00000000-0006-0000-0400-00006F000000}">
      <text>
        <r>
          <rPr>
            <b/>
            <sz val="9"/>
            <color indexed="81"/>
            <rFont val="Tahoma"/>
            <family val="2"/>
          </rPr>
          <t>SE INCLUYEN APROPIACIONES DE SEGUIMIENTO, Y DE MONITOREO DE LA CALIDAD DEL AGUA, Y ATENCIÓN A PQR</t>
        </r>
        <r>
          <rPr>
            <sz val="9"/>
            <color indexed="81"/>
            <rFont val="Tahoma"/>
            <family val="2"/>
          </rPr>
          <t xml:space="preserve">
</t>
        </r>
      </text>
    </comment>
  </commentList>
</comments>
</file>

<file path=xl/sharedStrings.xml><?xml version="1.0" encoding="utf-8"?>
<sst xmlns="http://schemas.openxmlformats.org/spreadsheetml/2006/main" count="1414" uniqueCount="644">
  <si>
    <t>1.1 Gestión Integral de recurso hídrico</t>
  </si>
  <si>
    <t>ACTIVIDADES</t>
  </si>
  <si>
    <t>PROYECTO</t>
  </si>
  <si>
    <t>PROGRAMA</t>
  </si>
  <si>
    <t>META</t>
  </si>
  <si>
    <t>DEPENDENCIA RESPONSABLE</t>
  </si>
  <si>
    <t>TIPO DE META</t>
  </si>
  <si>
    <t>Mantenimiento</t>
  </si>
  <si>
    <t>OBSERVACIONES</t>
  </si>
  <si>
    <t>Monitoreo comunitario para el conocimiento de la biodiversidad.</t>
  </si>
  <si>
    <t>Centro de Atención y Valoración de Fauna y su proyección con una propuesta innovadora de apropiación del conocimiento.</t>
  </si>
  <si>
    <t xml:space="preserve">Realización de los Planes de Manejo Ambiental a los Complejos de páramos del Tolima e implementación de los existentes. </t>
  </si>
  <si>
    <t>Producción de plántulas en viveros de la Corporación.</t>
  </si>
  <si>
    <t>Proyecto 2.1.1: Gestión integral de la biodiversidad y los ecosistemas  con soluciones basadas en naturaleza</t>
  </si>
  <si>
    <t>Programa 2.1 Gestión integral de la biodiversidad y los ecosistemas</t>
  </si>
  <si>
    <t>Incremento</t>
  </si>
  <si>
    <t>x</t>
  </si>
  <si>
    <t>Programa 2.2. Gestión de iniciativas productivas para la adaptación, mitigación y conocimiento del cambio climático y fomento de la transición hacia una economía baja en carbono.</t>
  </si>
  <si>
    <t>Proyecto 2.2.3: Transición hacia una economía baja en carbono.</t>
  </si>
  <si>
    <t xml:space="preserve">Programa 3.1: Gobernanza Ambiental </t>
  </si>
  <si>
    <t xml:space="preserve">Macroproyecto 3.1.1: Innovación y Fortalecimiento  Institucional para la Gobernanza Ambiental </t>
  </si>
  <si>
    <t>Evaluaciones ambientales</t>
  </si>
  <si>
    <t>Procesos sancionatorios resueltos</t>
  </si>
  <si>
    <t>LINEA BASE</t>
  </si>
  <si>
    <t>IMG ASOCIADO</t>
  </si>
  <si>
    <t>Incremento - mantenimiento</t>
  </si>
  <si>
    <t>NP</t>
  </si>
  <si>
    <t xml:space="preserve">Incremento </t>
  </si>
  <si>
    <t>Incremento- mantenimiento</t>
  </si>
  <si>
    <t>Incremento-mantenimiento</t>
  </si>
  <si>
    <t>INDICADOR</t>
  </si>
  <si>
    <t xml:space="preserve">Relacionamiento institucional y gestión de las comunicaciones </t>
  </si>
  <si>
    <t>META CUATRIENIO</t>
  </si>
  <si>
    <t>Número de nuevos negocios verdes con procesos de verificación</t>
  </si>
  <si>
    <t>171 nv</t>
  </si>
  <si>
    <t>No aplica</t>
  </si>
  <si>
    <t>isotopia</t>
  </si>
  <si>
    <t>caudales superficiales (aforos)</t>
  </si>
  <si>
    <t>ensayos de bombeo</t>
  </si>
  <si>
    <t>relevamiento topográfico</t>
  </si>
  <si>
    <t>valor unitario</t>
  </si>
  <si>
    <t>valor por campaña</t>
  </si>
  <si>
    <t>por campaña</t>
  </si>
  <si>
    <t>1 acuifero</t>
  </si>
  <si>
    <t>personal (3 x dia)</t>
  </si>
  <si>
    <t>transporte (30 dias)</t>
  </si>
  <si>
    <t>Año 1</t>
  </si>
  <si>
    <t>Año 2</t>
  </si>
  <si>
    <t>Año 3</t>
  </si>
  <si>
    <t>Año 4</t>
  </si>
  <si>
    <t>Inversión cuatrienio</t>
  </si>
  <si>
    <t xml:space="preserve">2,179,35 </t>
  </si>
  <si>
    <t>456 mil</t>
  </si>
  <si>
    <t xml:space="preserve">Estudios de Amenaza, Vulnerabilidad y Riesgo </t>
  </si>
  <si>
    <t>LINEA 1</t>
  </si>
  <si>
    <t>LINEA 2</t>
  </si>
  <si>
    <t xml:space="preserve">LINEA 3. </t>
  </si>
  <si>
    <t>Incremento-Mantenimiento</t>
  </si>
  <si>
    <t>FUENTE DE FINANCIACIÓN</t>
  </si>
  <si>
    <t>Recursos propios</t>
  </si>
  <si>
    <t>2 acuiferos</t>
  </si>
  <si>
    <t>PILAR 2</t>
  </si>
  <si>
    <t>INNOVACIÓN PARA LA COMPETITIVIDAD, EL DESARROLLO SOSTENIBLE Y EL AMBIENTE</t>
  </si>
  <si>
    <t>SECTOR AMBIENTE Y DESARROLLO SOSTENIBLE</t>
  </si>
  <si>
    <t xml:space="preserve">Código Producto </t>
  </si>
  <si>
    <t>Meta de Producto Plan de Desarrollo</t>
  </si>
  <si>
    <t>Indicador producto</t>
  </si>
  <si>
    <t>Línea base</t>
  </si>
  <si>
    <t>Meta producto del cuatrienio</t>
  </si>
  <si>
    <t>Responsable</t>
  </si>
  <si>
    <t>ODS</t>
  </si>
  <si>
    <t>Servicio apoyo financiero para la implementación de esquemas de pago por Servicio ambientales</t>
  </si>
  <si>
    <t>Áreas (Hectáreas) con esquemas de Pago por Servicios Ambientales implementados</t>
  </si>
  <si>
    <t>3000 </t>
  </si>
  <si>
    <t>Secretaría de Ambiente y Gestión del Riesgo</t>
  </si>
  <si>
    <t>15 – Vida de Ecosistemas terrestres</t>
  </si>
  <si>
    <t>Servicio de administración y manejo de áreas protegidas locales no vinculadas al Sistema Nacional de Áreas Protegidas</t>
  </si>
  <si>
    <t>(Áreas adquiridas para la conservación)</t>
  </si>
  <si>
    <t>Hectáreas de áreas</t>
  </si>
  <si>
    <t> 500</t>
  </si>
  <si>
    <t xml:space="preserve">Servicio de apoyo financiero a emprendimientos </t>
  </si>
  <si>
    <t>Emprendimientos apoyados</t>
  </si>
  <si>
    <t> 10</t>
  </si>
  <si>
    <t xml:space="preserve">Servicio de divulgación de conocimiento generado para la planificación sectorial y la gestión ambiental </t>
  </si>
  <si>
    <t>(Educación Ambiental)</t>
  </si>
  <si>
    <t>Proyectos apoyados</t>
  </si>
  <si>
    <t>40 </t>
  </si>
  <si>
    <t>Servicio de educación informal en gestión del cambio climático para un desarrollo bajo en carbono y resiliente al clima</t>
  </si>
  <si>
    <t>(Educación ambiental con enfoque a cambio climático)</t>
  </si>
  <si>
    <t>Personas capacitadas en gestión del cambio climático</t>
  </si>
  <si>
    <t>13 – Acciones por el clima</t>
  </si>
  <si>
    <t>Servicio de restauración de ecosistemas</t>
  </si>
  <si>
    <t>Áreas (Hectáreas) en proceso de restauración</t>
  </si>
  <si>
    <t>Servicio de recuperación de cuerpos de agua lénticos y lóticos</t>
  </si>
  <si>
    <t>Cuerpos de agua recuperados</t>
  </si>
  <si>
    <t>6 – Agua limpia y saneamiento</t>
  </si>
  <si>
    <t>Servicios tecnológicos para el sistema de información ambiental</t>
  </si>
  <si>
    <t>Instrumentos tecnológicos implementados </t>
  </si>
  <si>
    <t>Servicio de apoyo técnico a proyectos de educación ambiental y participación con enfoque diferencial</t>
  </si>
  <si>
    <t>Proyectos de etnoeducación apoyados</t>
  </si>
  <si>
    <r>
      <t>(</t>
    </r>
    <r>
      <rPr>
        <sz val="16"/>
        <color rgb="FF000000"/>
        <rFont val="Arial"/>
        <family val="2"/>
      </rPr>
      <t>Áreas con esquemas de Pago por Servicios Ambientales)</t>
    </r>
  </si>
  <si>
    <t>Proyecto 2.2.1 Desarrollo de estrategias de producción y consumo responsable basadas en naturaleza.</t>
  </si>
  <si>
    <t>CÓDIGO</t>
  </si>
  <si>
    <t>1.1.1.1.1.</t>
  </si>
  <si>
    <t>1.1.1.3.1</t>
  </si>
  <si>
    <t>1.1.1 Conocimiento, Planificación, Administración, seguimiento y monitoreo del Recurso Hídrico en el Departamento del Tolima</t>
  </si>
  <si>
    <t>META DE PRODUCTO</t>
  </si>
  <si>
    <t>15 metas</t>
  </si>
  <si>
    <t>1 plan estratégico de comunicaciones internas, externas y de relaciones públicas ejecutado</t>
  </si>
  <si>
    <t>Número de planes estratégicos</t>
  </si>
  <si>
    <t>Logística, prestación de servicios: periodistas, camarógrafos, fotografos, diseñadores, plan de medios (219 mill)</t>
  </si>
  <si>
    <t>Oficina de relacionamiento institucional</t>
  </si>
  <si>
    <t>LINEA 3</t>
  </si>
  <si>
    <t>Gobernabilidad y gobernanza ambiental</t>
  </si>
  <si>
    <t>250 (predio marinilla)</t>
  </si>
  <si>
    <t xml:space="preserve">Porcentaje de MIPG implementado
</t>
  </si>
  <si>
    <t>Porcenjate de especies invasoras con acciones de manejo</t>
  </si>
  <si>
    <t>1 (caracol africano)</t>
  </si>
  <si>
    <t>Mantenimiento
Incremento</t>
  </si>
  <si>
    <t>1.1.1.1.2</t>
  </si>
  <si>
    <t>1.1.1.1.3.</t>
  </si>
  <si>
    <t>hidroquímica</t>
  </si>
  <si>
    <t xml:space="preserve">100% del modelo integrado de planeación y gestión MIPG implementado
</t>
  </si>
  <si>
    <t xml:space="preserve">3
</t>
  </si>
  <si>
    <t xml:space="preserve">Número de planes de mejora ejecutados
</t>
  </si>
  <si>
    <t xml:space="preserve">3
</t>
  </si>
  <si>
    <t xml:space="preserve">
3
</t>
  </si>
  <si>
    <t>VALOR  PARA META ARMONIZADA</t>
  </si>
  <si>
    <t>VALOR PARA METAS NUEVAS</t>
  </si>
  <si>
    <t>VALOR APROPIADO PAC ACTUAL 2024</t>
  </si>
  <si>
    <t>Número de personas beneficiadas con  apropiación social del conocimiento y saber ambiental.</t>
  </si>
  <si>
    <t>Número de estufas ecoeficientes instaladas en hogares rurales</t>
  </si>
  <si>
    <t>Número de familias beneficiadas con acciones de agricultura regenerativa, de conservación y producción agroecológica.</t>
  </si>
  <si>
    <t>Seguimientos ambientales: seguimiento a licencias, permisos,concesiones, autorizaciones y demás instrumentos de control y manejo ambiental.</t>
  </si>
  <si>
    <t>Control, vigilancia y seguimiento a la
fauna y flora silvestre.</t>
  </si>
  <si>
    <t xml:space="preserve">Numero de POMCAs formulados </t>
  </si>
  <si>
    <t>Numero de POMCAS actualizados</t>
  </si>
  <si>
    <t>Incremento- Mantenimiento</t>
  </si>
  <si>
    <t>2.978 hectareas</t>
  </si>
  <si>
    <t>Número de hectáreas declaradas o en proceso de declaración como áreas protegidas</t>
  </si>
  <si>
    <t>56.960 has (historico)</t>
  </si>
  <si>
    <t xml:space="preserve">
3.556 has cortolima</t>
  </si>
  <si>
    <t>0.7</t>
  </si>
  <si>
    <t xml:space="preserve">Proyecto 2.2.2: Adaptación, mitigación, y gestión integral del riesgo de desastres. </t>
  </si>
  <si>
    <t>PROYECTO 2-2-3</t>
  </si>
  <si>
    <t>LÍNEA 3</t>
  </si>
  <si>
    <t>SUBACTIVIDAD</t>
  </si>
  <si>
    <t>Implementación y Funcionamiento del centro de monitoreo</t>
  </si>
  <si>
    <t>Producción y divulgación de información del recurso hídrico</t>
  </si>
  <si>
    <t>Instalación y mantenimiento preventivo y correctivo de estaciones.</t>
  </si>
  <si>
    <t xml:space="preserve">1.1.1.2.1 </t>
  </si>
  <si>
    <t xml:space="preserve">Elaboración de hidroinventarios </t>
  </si>
  <si>
    <t>1.1.1.2.2</t>
  </si>
  <si>
    <t xml:space="preserve">Mantenimiento </t>
  </si>
  <si>
    <t>1.1.1.2.3</t>
  </si>
  <si>
    <t>Implementación y/o ajuste de planes de manejo ambiental de acuíferos.</t>
  </si>
  <si>
    <t>1.1.1.2.4</t>
  </si>
  <si>
    <t xml:space="preserve">Estudios de acotamiento de rondas hídricas y aplicación. </t>
  </si>
  <si>
    <t>1.1.1.2.5</t>
  </si>
  <si>
    <t>Reglamentación de corrientes de uso público</t>
  </si>
  <si>
    <t>1.1.1.2.6</t>
  </si>
  <si>
    <t>Formulación, actualización y seguimiento a POMCAS</t>
  </si>
  <si>
    <t>1.1.1.2.7</t>
  </si>
  <si>
    <t>Ordenamiento de recurso hídrico PORH</t>
  </si>
  <si>
    <t>1.1.1.2.8</t>
  </si>
  <si>
    <t>Creación de Fondos de agua</t>
  </si>
  <si>
    <t>Estrategias de cosecha de agua-jagueyes</t>
  </si>
  <si>
    <t>1.1.1.3.2</t>
  </si>
  <si>
    <t xml:space="preserve">Obras de saneamiento básico </t>
  </si>
  <si>
    <t>2024 PROPIOS</t>
  </si>
  <si>
    <t>2024 FUENTES ALTERNATIVAS</t>
  </si>
  <si>
    <t>2025 PROPIOS</t>
  </si>
  <si>
    <t>2.1.1.1.1</t>
  </si>
  <si>
    <t>2.1.1.1.2</t>
  </si>
  <si>
    <t>Adquisición y manejo ambiental de predios de la Corporación</t>
  </si>
  <si>
    <t>2.1.1.1.3</t>
  </si>
  <si>
    <t>Estudios y manejo ambiental de especies amenazadas e invasoras</t>
  </si>
  <si>
    <t>2.1.1.1.4</t>
  </si>
  <si>
    <t>Conservación de especies amenazadas</t>
  </si>
  <si>
    <t>2.1.1.1.5</t>
  </si>
  <si>
    <t>2.1.1.1.6</t>
  </si>
  <si>
    <t>Declaratoria de nuevas áreas y/o registro de otras medidas efectivas de conservación OMEC</t>
  </si>
  <si>
    <t>2.1.1.1.7</t>
  </si>
  <si>
    <t xml:space="preserve">Ordenación ambiental en áreas de influencia </t>
  </si>
  <si>
    <t>2.1.1.1.8</t>
  </si>
  <si>
    <t>Formulación y adopción de instrumentos de planificación de areas protegidas</t>
  </si>
  <si>
    <t>2.1.1.1.9</t>
  </si>
  <si>
    <t>2.1.1.1.10</t>
  </si>
  <si>
    <t>Realización de acuerdos de Conservación mediante Pagos por servicios ambientales PSA.</t>
  </si>
  <si>
    <t>2.1.1.1.11</t>
  </si>
  <si>
    <t>Mercados de biodiversidad</t>
  </si>
  <si>
    <t>2.1.1.1.12</t>
  </si>
  <si>
    <t>2.1.1.1.13</t>
  </si>
  <si>
    <t xml:space="preserve">Hectáreas en procesos de restauración ecológica. </t>
  </si>
  <si>
    <t>2.1.1.1. 14</t>
  </si>
  <si>
    <t>Actualización del plan Ordenación Forestal</t>
  </si>
  <si>
    <t>2.1.1.2.1</t>
  </si>
  <si>
    <t>Mnonitoreo de la calidad de aire</t>
  </si>
  <si>
    <t>2.1.1.2.3</t>
  </si>
  <si>
    <t>Monitoreo comunitario de la salud ambiental</t>
  </si>
  <si>
    <t>2.1.1.2.4</t>
  </si>
  <si>
    <t xml:space="preserve">Actualización de la Estructura Ecológica Principal. </t>
  </si>
  <si>
    <t>2.1.1.2.5</t>
  </si>
  <si>
    <t xml:space="preserve">Diseño y adopción de Corredores biológicos </t>
  </si>
  <si>
    <t>Linea 2. Gestión Integral de los ecosistemas, la biodiversidad y el cambio climático</t>
  </si>
  <si>
    <t>2.1.1.1 Conocimiento y Manejo integral de los ecosistemas estratégicos y la biodiversidad</t>
  </si>
  <si>
    <t>2.1.1.2 Acciones para la Gestión Ambiental Urbana.</t>
  </si>
  <si>
    <t>2.1.2.1.1</t>
  </si>
  <si>
    <t>Asesoría y fortalecimiento de Proyectos Ambientales Escolares PRAES.</t>
  </si>
  <si>
    <t>2.1.2.1.2</t>
  </si>
  <si>
    <t>Formulación e implementación de Proyectos Ciudadanos de Educación Ambiental PROCEDAS.</t>
  </si>
  <si>
    <t>2.1.2.1.3</t>
  </si>
  <si>
    <t>Promoción de la participación ciudadana en procesos de educación y liderazgo ambiental</t>
  </si>
  <si>
    <t>2.1.2.1.4</t>
  </si>
  <si>
    <t xml:space="preserve">Implementación de proyectos de apropiación social del concomiento ambiental </t>
  </si>
  <si>
    <t xml:space="preserve"> Programa 2.1 Gestión integral de la biodiversidad y los ecosistemas</t>
  </si>
  <si>
    <t>Proyecto 2.1.2: Apropiación social del saber y el conocimiento ambiental.</t>
  </si>
  <si>
    <t xml:space="preserve">2.1.2.1 Promoción y fortalecimiento de los procesos de educación ambiental en instituciones educativas, comunidades, organizaciones e instituciones para la apropiacion social del saber y el conocimiento ambiental 
</t>
  </si>
  <si>
    <t>2.2.1.1.1</t>
  </si>
  <si>
    <t>Implementación de acciones de agricultura regenerativa y producción agroecológica</t>
  </si>
  <si>
    <t>2.2.1.2.1</t>
  </si>
  <si>
    <t>Asistencia técnica, Verificación, seguimiento,  y fortalecimiento a Negocios Verdes y emprendimientos verdes</t>
  </si>
  <si>
    <t>2.2.1.3.1</t>
  </si>
  <si>
    <t>Implementación de Estrategias de economía circular</t>
  </si>
  <si>
    <t>2.2.1.4.1</t>
  </si>
  <si>
    <t>Fortalecimiento a subsectores produtivos priorizados</t>
  </si>
  <si>
    <t>2.2.1.4.2</t>
  </si>
  <si>
    <t>Instalación de estufas ecoeficientes</t>
  </si>
  <si>
    <t>2.2.1.1 Acciones para la implementacion de estrategias de agricultura de conservación.</t>
  </si>
  <si>
    <t>2.2.1.2 Acciones para el fortalecimiento a Negocios Verdes y emprendimientos verdes</t>
  </si>
  <si>
    <t>2.2.1.3 Acciones de economia circular y consumo responsable</t>
  </si>
  <si>
    <t>2.2.1.4 Acciones de producción mas limpia para la reconversión productiva</t>
  </si>
  <si>
    <t>2.2.2.1.1</t>
  </si>
  <si>
    <t>2.2.2.1.2</t>
  </si>
  <si>
    <t>formulación de Planes de gestión del riesgo</t>
  </si>
  <si>
    <t>2.2.2.1.3</t>
  </si>
  <si>
    <t xml:space="preserve">Formulación y evaluación de Planes de Contingencias ante incendios forestales </t>
  </si>
  <si>
    <t>2.2.2.1.4</t>
  </si>
  <si>
    <t>Construcción y mantenimiento de obras estructurales y no estructurales</t>
  </si>
  <si>
    <t xml:space="preserve">21
</t>
  </si>
  <si>
    <t>2.2.2.1.5</t>
  </si>
  <si>
    <t xml:space="preserve">Apoyo a comités de gestión del riesgo. </t>
  </si>
  <si>
    <t>2.2.3.2.1</t>
  </si>
  <si>
    <t>Transferencia de conocimiento a empresas sobre medidas hacia la carbono neutralidad</t>
  </si>
  <si>
    <t>2.2.3.2.2</t>
  </si>
  <si>
    <t>2.2.3.2.3</t>
  </si>
  <si>
    <t>3.1.1.1.1</t>
  </si>
  <si>
    <t>Implementación de soluciones tecnológicas para la gestión institucional</t>
  </si>
  <si>
    <t>3.1.1.1.2</t>
  </si>
  <si>
    <t>Automatización de la correspondencia y la gestión documental</t>
  </si>
  <si>
    <t>3.1.1.1.3</t>
  </si>
  <si>
    <t xml:space="preserve">Sistema de imformación </t>
  </si>
  <si>
    <t>3.1.1.2.1</t>
  </si>
  <si>
    <t xml:space="preserve">Implementación de acciones para la gestión de ingresos </t>
  </si>
  <si>
    <t>3.1.1.3.1</t>
  </si>
  <si>
    <t>Banco de proyectos en operación</t>
  </si>
  <si>
    <t>3.1.1.3.2</t>
  </si>
  <si>
    <t xml:space="preserve">Implementación Modelo Integrado de Planeación y Gestión  </t>
  </si>
  <si>
    <t>3.1.1.3.3</t>
  </si>
  <si>
    <t>Sistema HSEQ Certificado</t>
  </si>
  <si>
    <t>3.1.1.4.1</t>
  </si>
  <si>
    <t>Asesoría sobre el componente ambiental en los procesos de planificación y ordenamiento territorial</t>
  </si>
  <si>
    <t>3.1.1.5.1</t>
  </si>
  <si>
    <t>Acercamiento con oferta Institucional en los territorios.</t>
  </si>
  <si>
    <t>3.1.1.5.2</t>
  </si>
  <si>
    <t>Posicionamiento institucional para la gobernanza ambiental</t>
  </si>
  <si>
    <t>3.1.1.6.1</t>
  </si>
  <si>
    <t>Fortalecimiento de las comunicaciones y las relaciones institucionales</t>
  </si>
  <si>
    <t>3.1.1.7.1</t>
  </si>
  <si>
    <t>3.1.1.7.2</t>
  </si>
  <si>
    <t>3.1.1.7.3</t>
  </si>
  <si>
    <t>3.1.1.7.4</t>
  </si>
  <si>
    <t>1.INNOVACIÓN EN LA GESTION INTEGRAL DEL RECURSO HIDRICO</t>
  </si>
  <si>
    <t>1.1.1.1 Acciones para el fortalecimiento del sistema de monitoreo del Recurso Hídrico.</t>
  </si>
  <si>
    <t>1.1.1.2 Acciones para el conocimiento y ordenamiento del recurso hídrico</t>
  </si>
  <si>
    <t>Implementación de programa de monitoreo del ERA.</t>
  </si>
  <si>
    <t>1.1.1.3 Acciones para el saneamiento básico y abastecimiento de recurso hidrico.</t>
  </si>
  <si>
    <t>2025 FUENTES ALTERNATIVAS</t>
  </si>
  <si>
    <t>Programa 2.2. Gestión de iniciativas productivas para la adaptación, mitigación y conocimiento del cambio climático y fomento de la transición hacia una economía baja en carbono</t>
  </si>
  <si>
    <t>2.2.2.1 Acciones para la la adaptación, mitigación y gestión integral del riesgo de desastres</t>
  </si>
  <si>
    <t>2.2.3.1 Valoración económica de servicios ecosistémicos</t>
  </si>
  <si>
    <t>2.2.3.2: Implementación de Medidas hacia la carbono-neutralidad.</t>
  </si>
  <si>
    <t>2.2.3.1.1</t>
  </si>
  <si>
    <t>Estudios de Valoración económica de servicios ecosistémicos</t>
  </si>
  <si>
    <t>Número de estudios de valoración económica de servicios ecosistémicos elaborados</t>
  </si>
  <si>
    <t xml:space="preserve">Línea 3. Fortalecimiento institucional para la gobernabilidad y la  gobernanza ambiental </t>
  </si>
  <si>
    <t xml:space="preserve">Proyecto 3.1.1:  Fortalecimiento  Institucional para la Gobernanza y Gobernabilidad Ambiental </t>
  </si>
  <si>
    <t>3.1.1.1 Acciones para el fortalecimiento de la gestión tecnológica institucional</t>
  </si>
  <si>
    <t xml:space="preserve">3.1.1.2 Acciones para el fortalecimiento de la gestión de ingresos de la corporación </t>
  </si>
  <si>
    <t>3.1.1.3 Acciones para el fortalecimiento de la planeación institucional y el direccionamiento estratégico de la corporación.</t>
  </si>
  <si>
    <t>3.1.1.5 Acciones de acercamiento y posicionamiento institucional en los territorios</t>
  </si>
  <si>
    <t xml:space="preserve">3.1.1.6 Relacionamiento institucional y gestión de las comunicaciones </t>
  </si>
  <si>
    <t>3.1.1.7 Ejercicio de la autoridad ambiental</t>
  </si>
  <si>
    <t>16 metas</t>
  </si>
  <si>
    <t>23 metas</t>
  </si>
  <si>
    <t xml:space="preserve">
2.500</t>
  </si>
  <si>
    <t xml:space="preserve">
2.000
</t>
  </si>
  <si>
    <t xml:space="preserve">
1000
</t>
  </si>
  <si>
    <t xml:space="preserve">
1.000</t>
  </si>
  <si>
    <t xml:space="preserve">
5.000</t>
  </si>
  <si>
    <t xml:space="preserve">Número de personas participando en redes o tejido social
</t>
  </si>
  <si>
    <t xml:space="preserve">
1.000 
</t>
  </si>
  <si>
    <t xml:space="preserve">
4.000</t>
  </si>
  <si>
    <t xml:space="preserve">
6.000</t>
  </si>
  <si>
    <t xml:space="preserve">
8.000</t>
  </si>
  <si>
    <t xml:space="preserve">
8.000</t>
  </si>
  <si>
    <t>5 metas</t>
  </si>
  <si>
    <t xml:space="preserve">9.700 personas
</t>
  </si>
  <si>
    <t>8 metas</t>
  </si>
  <si>
    <t>4 metas</t>
  </si>
  <si>
    <t>FUENTE LIBRE DESTINACIÓN</t>
  </si>
  <si>
    <t>FUENTE DESTINACIÓN ESPECÍFICA</t>
  </si>
  <si>
    <t>2026 PROPIOS</t>
  </si>
  <si>
    <t>2026 FUENTES ALTERNATIVAS</t>
  </si>
  <si>
    <t>Un (1) centro de monitoreo del recurso hídrico implementado y en funcionamiento, que integre las subzonas hidrográficas del Departamento. – IMG 25.</t>
  </si>
  <si>
    <t>Número de centros de monitoreo implementados y en funcionamiento.</t>
  </si>
  <si>
    <t>Un (1) portal hidroclimatológico diseñado y en funcioamiento, para la producción y divulgación de información.
IMG 25</t>
  </si>
  <si>
    <t>Número de portales  hidroclimatológicos diseñados y en funcionamiento.</t>
  </si>
  <si>
    <t>Una (1) red de hidrometría y meteorología con estaciones instaladas  y/o con mantenimiento.
IMG25</t>
  </si>
  <si>
    <t>Número de redes con estaciones instaladas  y/o con mantenimiento.</t>
  </si>
  <si>
    <t>Dos (2) pilotos de hidroinventarios elaborados, en puntos de 2 subzonas hidrográfricas.</t>
  </si>
  <si>
    <t>Número de pilotos de hidroinventarios elaborados.</t>
  </si>
  <si>
    <t>Un (1) documento de análisis del monitoreo de la Evaluación Regional de Agua elaborado, en 180 puntos estratégicos.</t>
  </si>
  <si>
    <t>Número de documentos de análisis del monitoreo de la ERA  eleaborados.</t>
  </si>
  <si>
    <t xml:space="preserve">Dos (2) planes de manejo ambiental de acuíferos PMAA implementado y/o ajustado.
</t>
  </si>
  <si>
    <t>Número de PMAA implementados y/o ajustados.</t>
  </si>
  <si>
    <t>Dos (2) estudios de acotamiento de rondas hídricas en zonas urbanas elaborados.</t>
  </si>
  <si>
    <t>Número de estudios elaborados.</t>
  </si>
  <si>
    <t>Una (1) corriente hídrica de uso público con reglamentación y/o ajuste
IMG 4</t>
  </si>
  <si>
    <t>Número de corrientes hídricas de uso público con reglamentacion y/o ajuste</t>
  </si>
  <si>
    <t>Un (1) nuevo plan de ordenación y manejo de cuencas POMCA
formulado 
IMG1, IMG 6</t>
  </si>
  <si>
    <t>Un (1) plan de ordenación y manejo de cuencas POMCA actualizado.
IMG1, IMG 6</t>
  </si>
  <si>
    <t>Dos (2) planes de ordenamiento del recurso hídrico PORH formulados y adoptados.
IMG2</t>
  </si>
  <si>
    <t>Número de PORH formulados y adoptados.</t>
  </si>
  <si>
    <t xml:space="preserve">Un (1) programa de fondo de agua creado y en implementación.
</t>
  </si>
  <si>
    <t>Número de programas fondos de agua creados y en implementación</t>
  </si>
  <si>
    <t xml:space="preserve">Cuatrocientas (400) familias beneficiadas con estrategias de cosechas de agua.
 </t>
  </si>
  <si>
    <t>Número de familias beneficiadas con estrategias de cosechas de agua.</t>
  </si>
  <si>
    <t>Once (11) reservorios de agua lluvia con apoyo en construcción y/o mantenimiento.</t>
  </si>
  <si>
    <t>Número de reservorios de agua lluvia construidos y/o con mantenimiento.</t>
  </si>
  <si>
    <t xml:space="preserve">Seiscientas (600) obras de saneamiento básico con apoyo en construcción y/o mantenimiento. </t>
  </si>
  <si>
    <t>Número de obras de saneamiento básico con apoyo en construcción y/o mantenimiento.</t>
  </si>
  <si>
    <t>Cinco (5) valores Objeto de Conservación (VOC) de las áreas protegidas de la Corporación, con acciones de monitoreo comunitario.
IMG12</t>
  </si>
  <si>
    <t>Número de VOC con acciones de monitoreo comunitario</t>
  </si>
  <si>
    <t>100% de predios de propiedad de la Corporación con control y seguimiento, aplicando el instrumento de manejo.</t>
  </si>
  <si>
    <t>Porcentaje de predios con control y seguimiento</t>
  </si>
  <si>
    <t>Mil (1.000) hectáreas adquiridas para la conservación de ecosistemas</t>
  </si>
  <si>
    <t>Número de hectáreas adquiridas.</t>
  </si>
  <si>
    <t>100% de Especies invasoras priorizadas con acciones de manejo 
IMG14</t>
  </si>
  <si>
    <t>Dos (2) estudios de biodiversidad elaborados y publicados.</t>
  </si>
  <si>
    <t>Número de estudios de biodiversidad elaborados y publicados.</t>
  </si>
  <si>
    <t>Número de especies amenazadas con medidas de conservación y manejo</t>
  </si>
  <si>
    <t xml:space="preserve">Un (1) centro de atención, valoración CAV de fauna silvestre construido y/o con mantenimiento. </t>
  </si>
  <si>
    <t>Número de CAV de fauna silvestre construido y/o con mantenimiento</t>
  </si>
  <si>
    <t>100% de los individuos de  fauna silvestre incautada, entregada voluntariamente o rescatada con disposición adecuada</t>
  </si>
  <si>
    <t>Porcentaje de individuos de  fauna silvestre con disposición adecuada.</t>
  </si>
  <si>
    <t>Mil ochocientas (1.800) nuevas hectareas declaradas o en proceso de declaración como áreas protegidas IMG9</t>
  </si>
  <si>
    <t>Cincuenta (50) predios ubicados en áreas de influencia de áreas protegidas o predios de la corporación con acuerdo de conservación IMG12</t>
  </si>
  <si>
    <t>Número de predios con acuerdo de conservación</t>
  </si>
  <si>
    <t>Seis (6) áreas protegidas con instrumento de planificación formulado y/o actualizado con adopción. IMG12</t>
  </si>
  <si>
    <t>Número de áreas protegidas con instrumento de planificación formulado y/o actualizado con adopción.</t>
  </si>
  <si>
    <t>Tres (3) planes de manejo ambiental de complejos de páramos formulados y/o ajustados IMG10</t>
  </si>
  <si>
    <t>Número de planes de manejo ambiental de complejos de páramos formulados y/o ajustados.</t>
  </si>
  <si>
    <t>Cinco mil (5.000) hectáreas bajo acuerdos de conservación y/o restauración de ecosistemas en áreas de importancia ambiental bajo el mecanismo de pagos por servicios ambientales PSA.
IMG 15</t>
  </si>
  <si>
    <t>Número de hectáreas con PSA.</t>
  </si>
  <si>
    <t>Dos (2) pilotos de mercados de biodiversidad para la conservación de ecosistemas estratégicos diseñados e implementados</t>
  </si>
  <si>
    <t>Número de pilotos diseñados e implementados.</t>
  </si>
  <si>
    <t>Quinientas mil (500.000) plántulas producidas y/o entregadas para el fomento de la cobertura forestal.</t>
  </si>
  <si>
    <t>Número de plántulas producidas y/o entregadas.</t>
  </si>
  <si>
    <t>Dos mil quinientas (2.500) hectáreas de ecosistemas naturales y/o áreas degradadas con procesos de restauración ecológica implementados. 
IMG 8, IMG15</t>
  </si>
  <si>
    <t>Número de hectáreas con procesos de restauración ecológica.</t>
  </si>
  <si>
    <t>Dos (2) parcelas instaladas para el monitoreo a procesos de restauración ecológica.
IMG15.</t>
  </si>
  <si>
    <t>Número de parcelas instaladas.</t>
  </si>
  <si>
    <t>Un (1) plan de Ordenación Forestal actualizado IMG11</t>
  </si>
  <si>
    <t>Número de planes de ordenación forestal actualizados</t>
  </si>
  <si>
    <t>Un (1 ) diagnóstico a partir de modelos de dispersión de la calidad del aire del municipio de Ibagué, elaborado.
IMG 19</t>
  </si>
  <si>
    <t>Número de diagnósticos de calidad de aire elaborados</t>
  </si>
  <si>
    <t>Una (1) red de monitoreo comunitario de la salud ambiental implementada.
IMG 19</t>
  </si>
  <si>
    <t>Número de redes de monitoreo comunitario de la salud ambiental implementada.</t>
  </si>
  <si>
    <t>Un (1) documento de la estructura ecológica principal para el departamento del Tolima actualizado
IMG 19</t>
  </si>
  <si>
    <t>Número de documentos actualizados</t>
  </si>
  <si>
    <t>1 corredor biólogico urbano diseñado y adoptado como determinante ambiental.
IMG 19</t>
  </si>
  <si>
    <t>Número de corredores biológicos urbano diseñados y adoptados.</t>
  </si>
  <si>
    <t>Doscientos setenta y tres (273) instituciones educativas asesoradas y fortalecidas en proyectos ambientales escolares PRAES. 
IMG27</t>
  </si>
  <si>
    <t>Número de instituciones educativas asesoradas y fortalecidas en PRAES.</t>
  </si>
  <si>
    <t xml:space="preserve">Cinco mil (5.000) personas beneficiadas con proyectos ciudadanos de educación ambiental PROCEDAS formulados y/o implementados. IMG27                 </t>
  </si>
  <si>
    <t>Número de personas beneficiadas con PROCEDAS</t>
  </si>
  <si>
    <t>Diez mil (10.000) personas participando en la Escuela itinerante de liderazgo ambiental comunitario, en los 47 municipios del Tolima 
IMG27</t>
  </si>
  <si>
    <t xml:space="preserve">     Número de     personas participando en la Escuela itinerante de liderazgo ambiental comunitario, en los 47 municipios del Tolima    </t>
  </si>
  <si>
    <t>Ocho mil (8.000) personas participando en 6 redes o tejido social ambiental activas, conformadas y/o fortalecidas
IMG 27</t>
  </si>
  <si>
    <t xml:space="preserve">
Diez mil (10.000) personas beneficiadas con proyectos de  apropiación social del conocimiento y saber ambiental.
IMG27</t>
  </si>
  <si>
    <t>Seis mil (6.000) familias beneficiadas con acciones de agricultura regenerativa, de conservación y producción agroecológica.</t>
  </si>
  <si>
    <t>Ciento treinta y ocho (138) nuevos negocios verdes con procesos de verificación
IMG 20</t>
  </si>
  <si>
    <t>100% de negocios verdes avalados con procesos de seguimiento y planes de mejora.
IMG 20</t>
  </si>
  <si>
    <t>Porcentaje de  negocios verdes avalados con procesos de seguimiento y planes de mejora.</t>
  </si>
  <si>
    <t>50% de negocios verdes avalados y emprendimientos verdes fortalecidos
IMG 20</t>
  </si>
  <si>
    <t>Porcentaje de negocios verdes avalados y emprendimientos verdes fortalecidos</t>
  </si>
  <si>
    <t xml:space="preserve">23.500 personas en los 47 municipios participando en acciones de economía circular.
</t>
  </si>
  <si>
    <t xml:space="preserve">Número de personas participando en acciones de economía circular
</t>
  </si>
  <si>
    <t xml:space="preserve">Diesciseis (16) subsectores económicos agropecuarios fortalecidos 
IMG 18
</t>
  </si>
  <si>
    <t>Número de subsectores fortalecido</t>
  </si>
  <si>
    <t xml:space="preserve">16
</t>
  </si>
  <si>
    <t>Un (1) proyecto piloto de finca demostrativa de producción más limpia implementado y con monitoreo</t>
  </si>
  <si>
    <t xml:space="preserve">Número de proyectos piloto de finca demostrativa de producción más limpia implementado y con monitoreo </t>
  </si>
  <si>
    <t xml:space="preserve">Cuatro mil (4.000) estufas ecoeficientes instaladas en hogares rurales
</t>
  </si>
  <si>
    <t>Tres (3) estudios detallados de amenaza, vulnerabilidad y riesgo AVR realizados</t>
  </si>
  <si>
    <t>Número  de estudios detallados de AVR realizados</t>
  </si>
  <si>
    <t>Dieciocho (18) planes municipales de Gestión del Riesgo apoyados en su formulación</t>
  </si>
  <si>
    <t xml:space="preserve">Número de planes municipales de Gestión del Riesgo apoyados </t>
  </si>
  <si>
    <t xml:space="preserve">Veinte (20) municipios apoyados con la formulación y evaluación de planes de contingencias ante incendios forestales </t>
  </si>
  <si>
    <t xml:space="preserve">Número de municipios apoyados </t>
  </si>
  <si>
    <t>Veinticinco (25) Obras estructurales y no estructurales para la reducción del riesgo construidas y/o con mantenimiento.</t>
  </si>
  <si>
    <t>Número de Obras estructurales y no estructurales construidas y/o con mantenimiento.</t>
  </si>
  <si>
    <t>Cuarenta y siete (47) municipios apoyados con transferencia de conocimiento y acciones de gestión del riesgo de desastres.</t>
  </si>
  <si>
    <t>Número de municipios apoyados con transferencia de conocimiento y acciones de gestión del riesgo de desastres.</t>
  </si>
  <si>
    <t>Dos (2) estudios de valoración económica de servicios ecosistémicos elaborados</t>
  </si>
  <si>
    <t>Diesciseis (16) subsectores económicos agropecuarios con transferencia de conocimiento sobre medidas hacia la carbono neutralidad</t>
  </si>
  <si>
    <t>Número de subsectores económicos agropecuarios con transferencia de conocimiento sobre medidas hacia la carbono neutralidad</t>
  </si>
  <si>
    <t>Dos (2) certificaciones obtenidas en inventario de gases de efecto invernadero GEI y carbono neutro certificado</t>
  </si>
  <si>
    <t xml:space="preserve">Numero de certificaciones obtenidas </t>
  </si>
  <si>
    <t>Siete (7) soluciones tecnológicas implementadas anualmente para la eficiencia de la gestión institucional.</t>
  </si>
  <si>
    <t>Número de soluciones tecnológicas implementadas anualmente para la eficiencia de la gestión institucional.</t>
  </si>
  <si>
    <t>Un (1) sistema de correspondencia y gestión documental automatizado en línea</t>
  </si>
  <si>
    <t>Número de sistemas de correspondencia y gestión documental automatizado en línea</t>
  </si>
  <si>
    <t xml:space="preserve">Un (1) sistema de información de la gestión institucional integrado y con interoperabilidad </t>
  </si>
  <si>
    <t xml:space="preserve">Número de  sistemas de información de la gestión institucional integrado y con interoperabilidad </t>
  </si>
  <si>
    <t>Implementacion de cinco (5) acciones para el fortalecimiento de la gestion de recursos propios de la Corporacion.</t>
  </si>
  <si>
    <t xml:space="preserve">Número de acciones Implementadas </t>
  </si>
  <si>
    <t>Asistencia técnica para la formulación y/o evaluación del 100% de proyectos internos y externos presentados al Banco de proyectos.</t>
  </si>
  <si>
    <t>Porcentaje de proyectos internos y externos presentados al Banco de proyectos con asistencia técnica.</t>
  </si>
  <si>
    <t xml:space="preserve">Mantener la certificación de 3 normas ISO a través de la mejora contínua del sistema HSEQ. (ISO 9001:2015 , ISO 14001:2015 e ISO 45001:2018
 </t>
  </si>
  <si>
    <t>100% de municipios asesorados o asistidos en la inclusión del componente ambiental en los procesos de planificación y ordenamiento territorial, con énfasis en la incorporación de las determinantes ambientales para la revisión y ajuste de los POT 
IMG 24</t>
  </si>
  <si>
    <t>100% de municipios asesorados o asistidos.</t>
  </si>
  <si>
    <t xml:space="preserve">650 Jornadas de acercamiento con la estrategia  "Cortolima te Escucha", realizadas en los 47 municipios. </t>
  </si>
  <si>
    <t xml:space="preserve">Número de Jornadas de acercamiento con la estrategia  "Cortolima te Escucha", realizadas en los 47 municipios. </t>
  </si>
  <si>
    <t>Cinco (5) Acciones de posicionamiento institucional en los territorios para la gobernanza ambiental implementadas</t>
  </si>
  <si>
    <t xml:space="preserve">Número de acciones de posicionamiento institucional en los territorios para la gobernanza ambiental implementadas </t>
  </si>
  <si>
    <t>Dos mil (2.000) acciones implementadas para las comunicaciones de la gestión ambiental corporativa</t>
  </si>
  <si>
    <t>Número de acciones implementadas.</t>
  </si>
  <si>
    <t>100% de evaluaciones ambientales a licencias ambientales y permisos. 
IMG 21</t>
  </si>
  <si>
    <t xml:space="preserve">Porcentaje de evaluaciones ambientales a licencias ambientales y permisos. </t>
  </si>
  <si>
    <t>100% de seguimientos a licencias ambientales y permisos
 IMG 3 - IMG5 - IMG 17-IMG21-IMG22, IMG 26</t>
  </si>
  <si>
    <t>Porcentaje de seguimientos a licencias ambientales y permisos.</t>
  </si>
  <si>
    <t xml:space="preserve">66% de procesos sancionatorios resueltos 
IMG23
</t>
  </si>
  <si>
    <t xml:space="preserve">Porcentaje de  procesos sancionatorios resueltos </t>
  </si>
  <si>
    <t xml:space="preserve">100% de acciones para el control y vigilancia al tráfico ilegal de fauna y flora ejecutadas (operativos y seguimientos)
</t>
  </si>
  <si>
    <t>Porcentaje de acciones para el control y vigilancia al tráfico ilegal de fauna y flora ejecutadas (operativos y seguimientos)</t>
  </si>
  <si>
    <t>Catorce  (14) especies amenazadas con medidas de conservación y manejo
IMG13</t>
  </si>
  <si>
    <t xml:space="preserve">CÓDIGO </t>
  </si>
  <si>
    <t>FUENTE</t>
  </si>
  <si>
    <t>TUA</t>
  </si>
  <si>
    <t>1.1.1.4.3</t>
  </si>
  <si>
    <t>1.1.1.4.6</t>
  </si>
  <si>
    <t>META PAC 2020-2023</t>
  </si>
  <si>
    <t>VALOR APROPIADO PPTO 2024</t>
  </si>
  <si>
    <t>Instalación De Estaciones De Monitoreo</t>
  </si>
  <si>
    <t>Formulación de Evaluación Regional del Agua (ERA)</t>
  </si>
  <si>
    <t>Formulación e implementación de planes de manejo ambiental de acuíferos PMAA</t>
  </si>
  <si>
    <t>Elaboración y/o ajuste de un estudio de acotamiento hídrico</t>
  </si>
  <si>
    <t>1.1.1.4.5</t>
  </si>
  <si>
    <t>TUA  -  S.F.  TUA</t>
  </si>
  <si>
    <t xml:space="preserve">1.1.1.4.1                     </t>
  </si>
  <si>
    <t xml:space="preserve">Formulación De Pomca  </t>
  </si>
  <si>
    <t>3.3.1.2.1</t>
  </si>
  <si>
    <t>Hectáreas con procesos de restauración ecológica en el departamento del Tolima</t>
  </si>
  <si>
    <t>S.A</t>
  </si>
  <si>
    <t>1.1.1.2.1</t>
  </si>
  <si>
    <t>Construcción y/o mantenimiento de proyectos de abastecimiento y/o jagüeyes</t>
  </si>
  <si>
    <t>Apoyo en la construcción y/o mejoramiento de sistemas de saneamiento básico</t>
  </si>
  <si>
    <t>T.R; R.C T.R; S.F T.R;   S.A IBAGUÉ;  S.A HONDA</t>
  </si>
  <si>
    <t>3.3.1.1.2              3.3.1.1.5</t>
  </si>
  <si>
    <t xml:space="preserve"> Implementación de acciones del Plan Regional de Biodiversidad              -Planes de manejo para revisión  ajuste y batimetría      </t>
  </si>
  <si>
    <t>R.C TUA</t>
  </si>
  <si>
    <t>3.3.1.2.4</t>
  </si>
  <si>
    <t xml:space="preserve">3.3.1.1.2              </t>
  </si>
  <si>
    <t xml:space="preserve"> Implementación de acciones del Plan Regional de Biodiversidad</t>
  </si>
  <si>
    <t>S.A;  R.C TUA</t>
  </si>
  <si>
    <t>Valoración y disposición adecuada de los individuos de la fauna silvestre incautada  entregada voluntariamente o rescatada</t>
  </si>
  <si>
    <t>3.3.1.2.6</t>
  </si>
  <si>
    <t>3.3.1.1.9</t>
  </si>
  <si>
    <t>Áreas protegidas declaradas con instrumentos de planificación adoptado</t>
  </si>
  <si>
    <t>RC TUA</t>
  </si>
  <si>
    <t>TUA;  RC TUA</t>
  </si>
  <si>
    <t>Acciones implementadas para la conservación de los ecosistemas en el Tolima principalmente mediante mecanismos como Pagos por Servicios Ambientales y otros</t>
  </si>
  <si>
    <t>3.3.1.2.3</t>
  </si>
  <si>
    <t>TUA; RC TUA</t>
  </si>
  <si>
    <t>S.A; TUA; RC TUA; TCAF</t>
  </si>
  <si>
    <t>3.2.1.1.1</t>
  </si>
  <si>
    <t>Diseño y/o implementación de estrategias para apoyar y/o fortalecer diferentes iniciativas presentadas por instituciones educativas y organizaciones comunitarias en el marco de los proyectos ambientales</t>
  </si>
  <si>
    <t>S.A; TUA; RC TUA; SECTOR ELÉCTRICO</t>
  </si>
  <si>
    <t>3.2.1.2.1</t>
  </si>
  <si>
    <t>Implementación de estrategias de apropiación social del conocimiento que promueva la cultura y conciencia ambiental en las comunidades del departamento</t>
  </si>
  <si>
    <t>SGR; RENTA CONTRACTUAL CV 3885</t>
  </si>
  <si>
    <t>2.3.1.1.1</t>
  </si>
  <si>
    <t>Apoyo a la realización de estudios de amenaza, vulnerabilidad y/o riesgos apoyados y/o actualizados.</t>
  </si>
  <si>
    <t>2.3.1.1.3</t>
  </si>
  <si>
    <t>Apoyo en la formulación y evaluación de Planes de contingencia ante incendios forestales</t>
  </si>
  <si>
    <t>2.3.1.1.2</t>
  </si>
  <si>
    <t>2.3.1.2.1</t>
  </si>
  <si>
    <t>Realización de acciones de asistencia técnica a los consejos municipales y departamental de Gestión de Riesgo</t>
  </si>
  <si>
    <t>2.3.1.3.1</t>
  </si>
  <si>
    <t>Implementación de acciones para la Reducción del Riesgo de desastres estructurales y no estructurales</t>
  </si>
  <si>
    <t>S.A; TUA; RC TUA; T.R</t>
  </si>
  <si>
    <t>2.2.1.2.4</t>
  </si>
  <si>
    <t>2.2.1.2.3</t>
  </si>
  <si>
    <t xml:space="preserve">Implementacion y/o fortalecimiento  de alternativas para adaptación y mitigación del cambio climatico      </t>
  </si>
  <si>
    <t>Implementación y fortalecimiento de estrategias de consumo responsable enfocados en economia circular</t>
  </si>
  <si>
    <t>S.A; S.F. S.A; TUA; RC TUA; S.F. TUA;  SECTOR ELÉCTRICO</t>
  </si>
  <si>
    <t>3.3.1.1.7</t>
  </si>
  <si>
    <t>Estudios de valoración económica de humedales</t>
  </si>
  <si>
    <t>4.1.1.3.1</t>
  </si>
  <si>
    <t>Desarrollar y/o implementar herramientas y/o infraestructura tecnológicas para el fortalecimiento seguimiento y evaluación para la eficiencia y eficacia de la gestión institucio</t>
  </si>
  <si>
    <t>4.1.1.3.2</t>
  </si>
  <si>
    <t>Avanzar en la implementación de la fase I del Sistema de Información Geográfico SIG</t>
  </si>
  <si>
    <t>4.1.1.2.1</t>
  </si>
  <si>
    <t>Implementación del Modelo Integrado de Planeación y Gestión MIPG</t>
  </si>
  <si>
    <t>4.1.1.1.1</t>
  </si>
  <si>
    <t>Fortalecimiento del Banco de Proyectos mediante la implementación de la Metodología General Ajustada para la evaluación priorización y viabilzación de proyectos</t>
  </si>
  <si>
    <t>Sostener el sistema de gestión integrado "HSEQ" actualizado y consolidado</t>
  </si>
  <si>
    <t>4.1.1.2.2</t>
  </si>
  <si>
    <t>Asesoría y capacitación a las administraciones municipales para que incorporen los determinantes ambientales en el proceso de revisión y ajuste de los Planes de Ordenamiento Territorial</t>
  </si>
  <si>
    <t>4.1.1.4.2</t>
  </si>
  <si>
    <t>Municipios con acciones  establecidas en la Estrategia de posicionamiento y acercamiento oportuno  constante y efectivo en el territorio</t>
  </si>
  <si>
    <t>S.A;  TUA;  T.R;  R.C T.R</t>
  </si>
  <si>
    <t>S.A;  TUA;  T.R;  R.C T.R; E.A</t>
  </si>
  <si>
    <t>4.4.1.1.2             1.1.1.1.7</t>
  </si>
  <si>
    <t>Evaluación  a licencias ambientales y permisos              Evaluación de los planes de ahorro y uso eficiente del agua PUEAA</t>
  </si>
  <si>
    <t xml:space="preserve">1.1.1.1.3               1.1.1.1.6       1.1.1.1.8                3.1.1.2.2             3.1.1.2.1              4.4.1.1.1              4.4.1.1.2 </t>
  </si>
  <si>
    <t>T.R; S.A; S.F S.A; SEGA; RC SEGA</t>
  </si>
  <si>
    <t>4.4.1.1.4</t>
  </si>
  <si>
    <t>Resolver sancionatorios ambientales</t>
  </si>
  <si>
    <t>S.A; MULTAS; R.C MULTAS</t>
  </si>
  <si>
    <t xml:space="preserve"> Ejecución de los operativos de control de flora y fauna programados</t>
  </si>
  <si>
    <t>4.4.1.1.5</t>
  </si>
  <si>
    <t>S.A; TCACFS</t>
  </si>
  <si>
    <t>ARMONIZACIÓN CON METAS PAC 2020-2023</t>
  </si>
  <si>
    <t xml:space="preserve">xxx
</t>
  </si>
  <si>
    <t xml:space="preserve">xx
</t>
  </si>
  <si>
    <t xml:space="preserve">3.1.1.4 Ordenamiento territorial y ambiental </t>
  </si>
  <si>
    <t>Elaboración de estudios en biodiversidad en corredores urbanos</t>
  </si>
  <si>
    <t>3.3.1.1.1</t>
  </si>
  <si>
    <t>Apoyo en la Actualización de los planes municipales de gestion del riesgo</t>
  </si>
  <si>
    <t xml:space="preserve">1.1.1.1.1         </t>
  </si>
  <si>
    <t xml:space="preserve">Formulación De Pomca Seguimiento a Pomca </t>
  </si>
  <si>
    <t xml:space="preserve">1.1.1.4.1             1.1.1.4.2          </t>
  </si>
  <si>
    <t xml:space="preserve">2.2.1.2.4              </t>
  </si>
  <si>
    <t xml:space="preserve">Implementacion y/o fortalecimiento  de alternativas para adaptación y mitigación del cambio climatico                     </t>
  </si>
  <si>
    <t>Manejo y seguimiento ambiental a predios adquiridos para la conservación de ecosistemas            Adquisición de (ha) de importancia estratégica para la conservación de ecosistemas</t>
  </si>
  <si>
    <t xml:space="preserve">Páramos con zonificación y régimen de usos        </t>
  </si>
  <si>
    <t xml:space="preserve">3.3.1.1.4            </t>
  </si>
  <si>
    <t>Plántulas de material forestal nativo producidas y entregadas para el fomento</t>
  </si>
  <si>
    <t>3.3.1.2.2</t>
  </si>
  <si>
    <t xml:space="preserve">3.1.1.2.3                  </t>
  </si>
  <si>
    <t xml:space="preserve">Monitoreo de la calidad del aire      </t>
  </si>
  <si>
    <t>Apoyo y fortalecimiento de iniciativas de desarrollo sostenible para el sector agropecuario del departamento</t>
  </si>
  <si>
    <t>METAS PAC 2024-2027</t>
  </si>
  <si>
    <t xml:space="preserve"> Monitoreo de la calidad del agua superficial en puntos del departamento del Tolima            Actualización del SIRH con el cargue de expedientes                 Seguimiento a planes de ahorro y uso eficiente Del agua PUEAA              Seguimiento a los PSMV vigentes            Seguimiento a los PGIRS                       Atención y evaluación a las peticiones, quejas y reclamos         Seguimiento a licencias ambientales y permisos         </t>
  </si>
  <si>
    <t>El convenio se firmo este año y son para los dos</t>
  </si>
  <si>
    <t>Dos (2) planes de manejo ambiental de acuíferos PMAA implementado y/o ajustado.</t>
  </si>
  <si>
    <t>Vigencia futura</t>
  </si>
  <si>
    <t>Solo personal 
Adquirir Cámaras trampa ($50 millones)</t>
  </si>
  <si>
    <t>Personal</t>
  </si>
  <si>
    <t xml:space="preserve">Se cumple con los acuerdo de SDA </t>
  </si>
  <si>
    <t>VF ($358.879.738) Chili Barragan
Iniciar con Consulta previa de Hermosas ($250 millones)</t>
  </si>
  <si>
    <t>Un (1) Plan de Ordenación Forestal actualizado IMG11</t>
  </si>
  <si>
    <t>Consultoría</t>
  </si>
  <si>
    <t xml:space="preserve">390 proceso para 100 
</t>
  </si>
  <si>
    <t>3 en mantenimiento 
3 contratistas parciales por acá</t>
  </si>
  <si>
    <t>Personal (3 personas)</t>
  </si>
  <si>
    <t xml:space="preserve">Convenio Gobernación </t>
  </si>
  <si>
    <t xml:space="preserve">Viverista (uno nuevo para Lérida) $150 millones
Insumos $300 millones </t>
  </si>
  <si>
    <t>Diesciseis (16) subsectores económicos agropecuarios fortalecidos 
IMG 18</t>
  </si>
  <si>
    <t>Vigencia Futura</t>
  </si>
  <si>
    <t>Un (1 ) diagnóstico a partir de modelos de dispersión de la calidad del aire del municipio de Ibagué, elaborado. IMG 19</t>
  </si>
  <si>
    <t>Con el contrato de este año se cumple la meta 2024 y 2025</t>
  </si>
  <si>
    <t xml:space="preserve">Gestión </t>
  </si>
  <si>
    <t>Personal (se toma valor ejecutado 2024)</t>
  </si>
  <si>
    <t>Vigencia futura $1.098.421.162 (internet, pagina web, Sysman y plataforma de trámites)
SIG 
Personal
Correspondencia</t>
  </si>
  <si>
    <t>Logistica
Medio
Personal</t>
  </si>
  <si>
    <t>SOBRETASA AMBIENTAL</t>
  </si>
  <si>
    <t xml:space="preserve">TASA USO DE AGUA </t>
  </si>
  <si>
    <t>R.CARTERA TASA USO DE AGUA</t>
  </si>
  <si>
    <t>TASA RETRIBUTIVA</t>
  </si>
  <si>
    <t>R.CARTERA TASA RETRIBUTIVA</t>
  </si>
  <si>
    <t>S.E CELSIA PRADO</t>
  </si>
  <si>
    <t>S.E ISAGEN GUARINÓ</t>
  </si>
  <si>
    <t>S.E WARTSILA</t>
  </si>
  <si>
    <t>S.E ISAGEN AMOYÁ</t>
  </si>
  <si>
    <t>S.E CELSIA CUCUANA</t>
  </si>
  <si>
    <t>S.E HOCOL PURIFICACIÓN</t>
  </si>
  <si>
    <t>MULTAS</t>
  </si>
  <si>
    <t>R.CARTERA MULTAS</t>
  </si>
  <si>
    <t>SEGUIMIENTO AMBIENTAL</t>
  </si>
  <si>
    <t>R.CARTERA SEGUIMIENTO AMBIENTAL</t>
  </si>
  <si>
    <t>TASA COMPENSATORIA POR APROVECHAMIENTO FORESTAL</t>
  </si>
  <si>
    <t>TASA COMPENSATORIA POR CAZA DE FAUNA SILVESTRE</t>
  </si>
  <si>
    <t>S.E NIÑO GUANDÓ</t>
  </si>
  <si>
    <t>S.E GUANDÓ MELGAR</t>
  </si>
  <si>
    <t>R. CARTERA TASA COMPENSATORIA POR CAZA DE FAUNA SILVESTRE</t>
  </si>
  <si>
    <t>EVALUACIÓN AMBIENTAL</t>
  </si>
  <si>
    <t>PRESUPUESTO 2025</t>
  </si>
  <si>
    <t xml:space="preserve">VALOR APROPIADO </t>
  </si>
  <si>
    <t xml:space="preserve">1. Se propone adicionar una corriente hídrica
2. Se reemplantea y se deja personal para seguimiento </t>
  </si>
  <si>
    <t>Meta que se financiará con el 1% de inversión forzosa de licenciados (proyecto fotovoltaico el Piojo)</t>
  </si>
  <si>
    <t>Una persona para el diagnostico y selección del área para el mercado de bodiversidad</t>
  </si>
  <si>
    <t>Cofinanciar con recursos del Depto</t>
  </si>
  <si>
    <t>Personal de planta para hacer un seguimiento a las acciones de los demás proyectos</t>
  </si>
  <si>
    <t>$300 millones de manos al agua
El muro de Herveo cuesta aproximadamente $5.000 millones. Se propone vigencia futura (15%) $750 millones</t>
  </si>
  <si>
    <t>Maquinaria $135 millones para adición
Personal $100 millones</t>
  </si>
  <si>
    <t>Estudios</t>
  </si>
  <si>
    <t xml:space="preserve">ICONTEC $110 MILLONES
</t>
  </si>
  <si>
    <t>REGALÍAS</t>
  </si>
  <si>
    <t>De 22 pasa a 32 estaciones para realizar mantenimiento. $2.881.007.544,98 FINANCIADOS CON RECURSOS DE REGALÍAS</t>
  </si>
  <si>
    <t>Con regalías se financieria fortalecimiento a negocios verdes</t>
  </si>
  <si>
    <t>Recursos para talleres de adopción de prácticas agroecológicas</t>
  </si>
  <si>
    <t>Se financiaría componente de Fortalecimiento de Capacidades de Turismo y señalización ambiental turística</t>
  </si>
  <si>
    <t xml:space="preserve">Se espera cumplir la meta 2025 con los $ de la convocatoria 3 del MDAS </t>
  </si>
  <si>
    <t>Transporte. Componente Establecimiento de jardines…( GOBERNANZA)</t>
  </si>
  <si>
    <t>Se financiarían 200 millones con excedentes de TUA. Total meta 300 millones</t>
  </si>
  <si>
    <t>Se financiarían $330,767,313.27 con recursos de Excedentes de Tasa Retributiva</t>
  </si>
  <si>
    <t>Linea 1. Innovación en la gestion integral del recurso hidrico</t>
  </si>
  <si>
    <t>1.1 Programa. Gestión Integral de recurso hídrico</t>
  </si>
  <si>
    <t>Proyecto. 1.1.1 Conocimiento, Planificación, Administración, seguimiento y monitoreo del Recurso Hídrico en el Departamento del Tolima</t>
  </si>
  <si>
    <t>META 2025</t>
  </si>
  <si>
    <t xml:space="preserve">Se requiere personal </t>
  </si>
  <si>
    <t>Cotización de una consultoría y personal $1.800 millones. *Se plantea la posibilidad de hacer VF (todos los años $600 millones) para el 2025 el 15% +  contratistas. 160 millones se financiarían con excedentes de TUA</t>
  </si>
  <si>
    <t>1. Continuar el acuifero de Ibagué e iniciar la consultoría del Acuífero del Norte $400 millones
2. Para inicar el plan de manejo del acuifero del norte. En total $1.155 millones. Con VF se debe dejar 50% cada año.  
3. $900 millones se financiarían con excedentes financieros (450 de tua, y 450 de TR). VALOR TOTAL META 977.500.000</t>
  </si>
  <si>
    <t>Dos contratistas (ya se tiene el dron)</t>
  </si>
  <si>
    <t>23.500 personas en los 47 municipios participando en acciones de economía circular.</t>
  </si>
  <si>
    <t>Número de personas participando en acciones de economía circular</t>
  </si>
  <si>
    <t>1. Convenio Corcuencas para monitoreo de calidad del agua $650 millones sería financiada con Excedentes de Tasa Retributiva.
2. Personal: Se financiarían 119 millones con TUA, y con T.R 238 millones</t>
  </si>
  <si>
    <t>Mantener la certificación de 3 normas ISO a través de la mejora contínua del sistema HSEQ. (ISO 9001:2015 , ISO 14001:2015 e ISO 45001:2018</t>
  </si>
  <si>
    <t>Número de planes de mejora ejecutados</t>
  </si>
  <si>
    <t>100% del modelo integrad de planeación y gestión MIPG implementado</t>
  </si>
  <si>
    <t>Porcentaje de MIPG implementado</t>
  </si>
  <si>
    <t xml:space="preserve">TOTAL PROYECTOS DE INVERSIÓN </t>
  </si>
  <si>
    <t>PLAN OPERATIVO ANUAL DE INVERSIONES</t>
  </si>
  <si>
    <t>PRESUPUESTO DE GASTOS DE INVERSIÓN 2025</t>
  </si>
  <si>
    <t>% Participación</t>
  </si>
  <si>
    <t>Valor</t>
  </si>
  <si>
    <t xml:space="preserve">Descripción </t>
  </si>
  <si>
    <t xml:space="preserve">Total proyectos de inversión </t>
  </si>
  <si>
    <t xml:space="preserve">6000
</t>
  </si>
  <si>
    <t>PRESUPUESTO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</si>
</sst>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quot;$&quot;* #,##0_-;\-&quot;$&quot;* #,##0_-;_-&quot;$&quot;* &quot;-&quot;_-;_-@_-"/>
    <numFmt numFmtId="165" formatCode="&quot;$&quot;#,##0"/>
    <numFmt numFmtId="166" formatCode="#,##0.0"/>
    <numFmt numFmtId="167" formatCode="&quot;$&quot;\ #,##0.00"/>
  </numFmts>
  <fonts count="35">
    <font>
      <sz val="12"/>
      <color theme="1"/>
      <name val="Calibri"/>
      <family val="2"/>
      <scheme val="minor"/>
    </font>
    <font>
      <sz val="12"/>
      <color theme="1"/>
      <name val="Calibri"/>
      <family val="2"/>
      <scheme val="minor"/>
    </font>
    <font>
      <sz val="14"/>
      <color theme="1"/>
      <name val="Arial"/>
      <family val="2"/>
    </font>
    <font>
      <sz val="14"/>
      <name val="Arial"/>
      <family val="2"/>
    </font>
    <font>
      <b/>
      <sz val="11"/>
      <color theme="1"/>
      <name val="Arial"/>
      <family val="2"/>
    </font>
    <font>
      <b/>
      <sz val="16"/>
      <color rgb="FFFFCC00"/>
      <name val="Arial"/>
      <family val="2"/>
    </font>
    <font>
      <sz val="16"/>
      <color rgb="FF000000"/>
      <name val="Arial"/>
      <family val="2"/>
    </font>
    <font>
      <sz val="16"/>
      <color theme="1"/>
      <name val="Arial"/>
      <family val="2"/>
    </font>
    <font>
      <b/>
      <sz val="16"/>
      <color rgb="FF000000"/>
      <name val="Arial"/>
      <family val="2"/>
    </font>
    <font>
      <sz val="16"/>
      <color theme="1"/>
      <name val="Calibri"/>
      <family val="2"/>
      <scheme val="minor"/>
    </font>
    <font>
      <b/>
      <sz val="14"/>
      <color theme="1"/>
      <name val="Arial"/>
      <family val="2"/>
    </font>
    <font>
      <sz val="9"/>
      <color indexed="81"/>
      <name val="Tahoma"/>
      <family val="2"/>
    </font>
    <font>
      <b/>
      <sz val="9"/>
      <color indexed="81"/>
      <name val="Tahoma"/>
      <family val="2"/>
    </font>
    <font>
      <b/>
      <sz val="11"/>
      <color indexed="81"/>
      <name val="Tahoma"/>
      <family val="2"/>
    </font>
    <font>
      <b/>
      <sz val="12"/>
      <color indexed="81"/>
      <name val="Tahoma"/>
      <family val="2"/>
    </font>
    <font>
      <b/>
      <sz val="14"/>
      <color indexed="81"/>
      <name val="Tahoma"/>
      <family val="2"/>
    </font>
    <font>
      <sz val="12"/>
      <color indexed="81"/>
      <name val="Tahoma"/>
      <family val="2"/>
    </font>
    <font>
      <sz val="16"/>
      <color indexed="81"/>
      <name val="Tahoma"/>
      <family val="2"/>
    </font>
    <font>
      <sz val="10"/>
      <color indexed="81"/>
      <name val="Tahoma"/>
      <family val="2"/>
    </font>
    <font>
      <sz val="11"/>
      <color indexed="81"/>
      <name val="Tahoma"/>
      <family val="2"/>
    </font>
    <font>
      <b/>
      <sz val="10"/>
      <color indexed="81"/>
      <name val="Tahoma"/>
      <family val="2"/>
    </font>
    <font>
      <sz val="9"/>
      <color rgb="FF000000"/>
      <name val="Tahoma"/>
      <family val="2"/>
    </font>
    <font>
      <sz val="14"/>
      <color indexed="81"/>
      <name val="Tahoma"/>
      <family val="2"/>
    </font>
    <font>
      <b/>
      <sz val="14"/>
      <name val="Arial"/>
      <family val="2"/>
    </font>
    <font>
      <sz val="14"/>
      <name val="SansSerif"/>
      <family val="2"/>
    </font>
    <font>
      <b/>
      <sz val="14"/>
      <color theme="0"/>
      <name val="Arial"/>
      <family val="2"/>
    </font>
    <font>
      <sz val="14"/>
      <color rgb="FFFF0000"/>
      <name val="Arial"/>
      <family val="2"/>
    </font>
    <font>
      <b/>
      <sz val="14"/>
      <color rgb="FFFF0000"/>
      <name val="Arial"/>
      <family val="2"/>
    </font>
    <font>
      <sz val="11"/>
      <color theme="1"/>
      <name val="Arial"/>
      <family val="2"/>
    </font>
    <font>
      <sz val="16"/>
      <name val="Arial"/>
      <family val="2"/>
    </font>
    <font>
      <b/>
      <sz val="16"/>
      <name val="Arial"/>
      <family val="2"/>
    </font>
    <font>
      <b/>
      <sz val="16"/>
      <color rgb="FFFF0000"/>
      <name val="Arial"/>
      <family val="2"/>
    </font>
    <font>
      <b/>
      <sz val="18"/>
      <name val="Arial"/>
      <family val="2"/>
    </font>
    <font>
      <b/>
      <sz val="12"/>
      <name val="Calibri"/>
      <family val="2"/>
      <scheme val="minor"/>
    </font>
    <font>
      <b/>
      <sz val="2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A50021"/>
        <bgColor indexed="64"/>
      </patternFill>
    </fill>
    <fill>
      <patternFill patternType="solid">
        <fgColor rgb="FFFFFFFF"/>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2">
    <xf numFmtId="0" fontId="0" fillId="0" borderId="0" xfId="0"/>
    <xf numFmtId="0" fontId="2" fillId="0" borderId="1" xfId="0" applyFont="1" applyBorder="1" applyAlignment="1">
      <alignment horizontal="left" vertical="center" wrapText="1"/>
    </xf>
    <xf numFmtId="165" fontId="0" fillId="0" borderId="0" xfId="0" applyNumberFormat="1"/>
    <xf numFmtId="0" fontId="0" fillId="0" borderId="1" xfId="0" applyBorder="1"/>
    <xf numFmtId="165" fontId="0" fillId="0" borderId="1" xfId="0" applyNumberFormat="1" applyBorder="1"/>
    <xf numFmtId="0" fontId="0" fillId="0" borderId="0" xfId="0" applyAlignment="1">
      <alignment wrapText="1"/>
    </xf>
    <xf numFmtId="165" fontId="0" fillId="3" borderId="0" xfId="0" applyNumberFormat="1" applyFill="1"/>
    <xf numFmtId="165" fontId="0" fillId="3" borderId="1" xfId="0" applyNumberFormat="1" applyFill="1" applyBorder="1"/>
    <xf numFmtId="0" fontId="0" fillId="0" borderId="1" xfId="0" applyBorder="1" applyAlignment="1">
      <alignment wrapText="1"/>
    </xf>
    <xf numFmtId="0" fontId="4" fillId="0" borderId="0" xfId="0" applyFont="1" applyAlignment="1">
      <alignment horizontal="center" vertical="center"/>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5" borderId="11" xfId="0" applyFont="1" applyFill="1" applyBorder="1" applyAlignment="1">
      <alignment vertical="center" wrapText="1"/>
    </xf>
    <xf numFmtId="0" fontId="6" fillId="5" borderId="7" xfId="0" applyFont="1" applyFill="1" applyBorder="1" applyAlignment="1">
      <alignment horizontal="center" vertical="center" wrapText="1"/>
    </xf>
    <xf numFmtId="0" fontId="9" fillId="5" borderId="9" xfId="0" applyFont="1" applyFill="1" applyBorder="1" applyAlignment="1">
      <alignment vertical="center" wrapText="1"/>
    </xf>
    <xf numFmtId="0" fontId="6" fillId="5" borderId="9"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center"/>
    </xf>
    <xf numFmtId="0" fontId="10" fillId="2" borderId="5"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top" wrapText="1"/>
    </xf>
    <xf numFmtId="0" fontId="10" fillId="2" borderId="12" xfId="0" applyFont="1" applyFill="1" applyBorder="1" applyAlignment="1">
      <alignment vertical="center"/>
    </xf>
    <xf numFmtId="0" fontId="10" fillId="2" borderId="1" xfId="0" applyFont="1" applyFill="1" applyBorder="1" applyAlignment="1">
      <alignment horizontal="left" vertical="top" wrapText="1"/>
    </xf>
    <xf numFmtId="0" fontId="10" fillId="2" borderId="1" xfId="0" applyFont="1" applyFill="1" applyBorder="1" applyAlignment="1">
      <alignment vertical="top"/>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43" fontId="3" fillId="0" borderId="1" xfId="2" applyFont="1" applyBorder="1" applyAlignment="1">
      <alignment horizontal="center" vertical="center"/>
    </xf>
    <xf numFmtId="44" fontId="3" fillId="0" borderId="1" xfId="2" applyNumberFormat="1" applyFont="1" applyBorder="1" applyAlignment="1">
      <alignment horizontal="left" vertical="center" wrapText="1"/>
    </xf>
    <xf numFmtId="43" fontId="3" fillId="0" borderId="1" xfId="2" applyFont="1" applyBorder="1" applyAlignment="1">
      <alignment horizontal="center" vertical="center" wrapText="1"/>
    </xf>
    <xf numFmtId="43" fontId="3" fillId="0" borderId="1" xfId="2" applyFont="1" applyBorder="1" applyAlignment="1">
      <alignment vertical="center"/>
    </xf>
    <xf numFmtId="43" fontId="3" fillId="0" borderId="1" xfId="2"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43" fontId="3" fillId="0" borderId="1" xfId="2" applyFont="1" applyFill="1" applyBorder="1" applyAlignment="1">
      <alignment vertical="center"/>
    </xf>
    <xf numFmtId="0" fontId="3" fillId="0" borderId="1" xfId="2" applyNumberFormat="1" applyFont="1" applyFill="1" applyBorder="1" applyAlignment="1">
      <alignment horizontal="left" vertical="center" wrapText="1"/>
    </xf>
    <xf numFmtId="43" fontId="3" fillId="0" borderId="2" xfId="2" applyFont="1" applyBorder="1" applyAlignment="1">
      <alignment horizontal="center" vertical="center" wrapText="1"/>
    </xf>
    <xf numFmtId="43" fontId="3" fillId="0" borderId="3" xfId="2" applyFont="1" applyBorder="1" applyAlignment="1">
      <alignment horizontal="center" vertical="center" wrapText="1"/>
    </xf>
    <xf numFmtId="43" fontId="3" fillId="0" borderId="4" xfId="2" applyFont="1" applyBorder="1" applyAlignment="1">
      <alignment horizontal="center" vertical="center" wrapText="1"/>
    </xf>
    <xf numFmtId="0" fontId="3" fillId="0" borderId="2" xfId="0" applyFont="1" applyBorder="1" applyAlignment="1">
      <alignment horizontal="left" vertical="center" wrapText="1"/>
    </xf>
    <xf numFmtId="0" fontId="3" fillId="0" borderId="1" xfId="2" applyNumberFormat="1" applyFont="1" applyBorder="1" applyAlignment="1">
      <alignment horizontal="left" vertical="center" wrapText="1"/>
    </xf>
    <xf numFmtId="0" fontId="3" fillId="0" borderId="1" xfId="2" applyNumberFormat="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44" fontId="3" fillId="0" borderId="0" xfId="2" applyNumberFormat="1" applyFont="1" applyAlignment="1">
      <alignment horizontal="left" vertical="center"/>
    </xf>
    <xf numFmtId="43" fontId="3" fillId="0" borderId="0" xfId="2" applyFont="1" applyAlignment="1">
      <alignment horizontal="center" vertical="center"/>
    </xf>
    <xf numFmtId="0" fontId="23" fillId="2" borderId="1" xfId="0" applyFont="1" applyFill="1" applyBorder="1" applyAlignment="1">
      <alignment horizontal="center" vertical="center"/>
    </xf>
    <xf numFmtId="0" fontId="23" fillId="2" borderId="5" xfId="0" applyFont="1" applyFill="1" applyBorder="1" applyAlignment="1">
      <alignment horizontal="center" vertical="center" wrapText="1"/>
    </xf>
    <xf numFmtId="0" fontId="23" fillId="2" borderId="1" xfId="0" applyFont="1" applyFill="1" applyBorder="1" applyAlignment="1">
      <alignment horizontal="center" vertical="center" wrapText="1"/>
    </xf>
    <xf numFmtId="1" fontId="23" fillId="2" borderId="1" xfId="2" applyNumberFormat="1" applyFont="1" applyFill="1" applyBorder="1" applyAlignment="1">
      <alignment horizontal="center" vertical="center"/>
    </xf>
    <xf numFmtId="44" fontId="23" fillId="2" borderId="1" xfId="2" applyNumberFormat="1" applyFont="1" applyFill="1" applyBorder="1" applyAlignment="1">
      <alignment horizontal="center" vertical="center" wrapText="1"/>
    </xf>
    <xf numFmtId="0" fontId="23" fillId="2" borderId="1" xfId="2" applyNumberFormat="1" applyFont="1" applyFill="1" applyBorder="1" applyAlignment="1">
      <alignment horizontal="center" vertical="center" wrapText="1"/>
    </xf>
    <xf numFmtId="44" fontId="23" fillId="2" borderId="12" xfId="2" applyNumberFormat="1" applyFont="1" applyFill="1" applyBorder="1" applyAlignment="1">
      <alignment horizontal="center" vertical="center" wrapText="1"/>
    </xf>
    <xf numFmtId="43" fontId="23" fillId="2" borderId="1" xfId="2"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43" fontId="3" fillId="3" borderId="1" xfId="2" applyFont="1" applyFill="1" applyBorder="1" applyAlignment="1">
      <alignment horizontal="center" vertical="center"/>
    </xf>
    <xf numFmtId="44" fontId="3" fillId="0" borderId="13" xfId="2" applyNumberFormat="1" applyFont="1" applyBorder="1" applyAlignment="1">
      <alignment horizontal="center" vertical="center" wrapText="1"/>
    </xf>
    <xf numFmtId="44" fontId="3" fillId="0" borderId="4" xfId="2" applyNumberFormat="1" applyFont="1" applyBorder="1" applyAlignment="1">
      <alignment horizontal="center" vertical="center" wrapText="1"/>
    </xf>
    <xf numFmtId="44" fontId="3" fillId="0" borderId="12" xfId="2" applyNumberFormat="1" applyFont="1" applyBorder="1" applyAlignment="1">
      <alignment horizontal="left" vertical="center" wrapText="1"/>
    </xf>
    <xf numFmtId="0" fontId="3" fillId="0" borderId="1" xfId="0" applyFont="1" applyBorder="1" applyAlignment="1">
      <alignment vertical="center"/>
    </xf>
    <xf numFmtId="9"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44" fontId="3" fillId="0" borderId="12" xfId="2" applyNumberFormat="1" applyFont="1" applyBorder="1" applyAlignment="1">
      <alignment horizontal="left" vertical="center"/>
    </xf>
    <xf numFmtId="44" fontId="3" fillId="0" borderId="1" xfId="2" applyNumberFormat="1" applyFont="1" applyBorder="1" applyAlignment="1">
      <alignment horizontal="left" vertical="center"/>
    </xf>
    <xf numFmtId="166" fontId="3" fillId="0" borderId="1" xfId="0" applyNumberFormat="1" applyFont="1" applyBorder="1" applyAlignment="1">
      <alignment horizontal="center" vertical="center"/>
    </xf>
    <xf numFmtId="44" fontId="24" fillId="0" borderId="0" xfId="0" applyNumberFormat="1" applyFont="1" applyAlignment="1">
      <alignment horizontal="right" vertical="center" wrapText="1"/>
    </xf>
    <xf numFmtId="1" fontId="3" fillId="0" borderId="1" xfId="0" applyNumberFormat="1" applyFont="1" applyBorder="1" applyAlignment="1">
      <alignment horizontal="center" vertical="center" wrapText="1"/>
    </xf>
    <xf numFmtId="1" fontId="3" fillId="0" borderId="1" xfId="1" applyNumberFormat="1"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2" applyNumberFormat="1" applyFont="1" applyAlignment="1">
      <alignment horizontal="left" vertical="center" wrapText="1"/>
    </xf>
    <xf numFmtId="0" fontId="3" fillId="0" borderId="0" xfId="2" applyNumberFormat="1" applyFont="1" applyAlignment="1">
      <alignment horizontal="center" vertical="center" wrapText="1"/>
    </xf>
    <xf numFmtId="0" fontId="23" fillId="0" borderId="1" xfId="0" applyFont="1" applyBorder="1" applyAlignment="1">
      <alignment horizontal="left" vertical="center" wrapText="1"/>
    </xf>
    <xf numFmtId="43" fontId="3" fillId="0" borderId="1" xfId="2" applyFont="1" applyBorder="1" applyAlignment="1">
      <alignment horizontal="right" vertical="center"/>
    </xf>
    <xf numFmtId="0" fontId="3" fillId="0" borderId="2" xfId="2" applyNumberFormat="1" applyFont="1" applyBorder="1" applyAlignment="1">
      <alignment horizontal="left" vertical="center" wrapText="1"/>
    </xf>
    <xf numFmtId="43" fontId="3" fillId="0" borderId="1" xfId="0" applyNumberFormat="1" applyFont="1" applyBorder="1" applyAlignment="1">
      <alignment horizontal="center" vertical="center"/>
    </xf>
    <xf numFmtId="43" fontId="3" fillId="0" borderId="2" xfId="2" applyFont="1" applyBorder="1" applyAlignment="1">
      <alignment horizontal="right" vertical="center"/>
    </xf>
    <xf numFmtId="43" fontId="3" fillId="0" borderId="3" xfId="2" applyFont="1" applyBorder="1" applyAlignment="1">
      <alignment horizontal="right" vertical="center"/>
    </xf>
    <xf numFmtId="43" fontId="3" fillId="0" borderId="4" xfId="2" applyFont="1" applyBorder="1" applyAlignment="1">
      <alignment horizontal="right" vertical="center"/>
    </xf>
    <xf numFmtId="167" fontId="3" fillId="0" borderId="0" xfId="2" applyNumberFormat="1" applyFont="1" applyBorder="1" applyAlignment="1">
      <alignment horizontal="left" vertical="center" wrapText="1"/>
    </xf>
    <xf numFmtId="165" fontId="3" fillId="0" borderId="1" xfId="0" applyNumberFormat="1" applyFont="1" applyBorder="1" applyAlignment="1">
      <alignment horizontal="center" vertical="center"/>
    </xf>
    <xf numFmtId="0" fontId="3" fillId="0" borderId="2" xfId="2" applyNumberFormat="1" applyFont="1" applyBorder="1" applyAlignment="1">
      <alignment horizontal="center" vertical="center" wrapText="1"/>
    </xf>
    <xf numFmtId="0" fontId="3" fillId="0" borderId="3" xfId="2" applyNumberFormat="1" applyFont="1" applyBorder="1" applyAlignment="1">
      <alignment horizontal="center" vertical="center" wrapText="1"/>
    </xf>
    <xf numFmtId="0" fontId="3" fillId="0" borderId="4" xfId="2" applyNumberFormat="1" applyFont="1" applyBorder="1" applyAlignment="1">
      <alignment horizontal="center" vertical="center" wrapText="1"/>
    </xf>
    <xf numFmtId="0" fontId="23" fillId="0" borderId="1" xfId="0" applyFont="1" applyBorder="1" applyAlignment="1">
      <alignment vertical="center" wrapText="1"/>
    </xf>
    <xf numFmtId="44" fontId="3" fillId="0" borderId="1" xfId="3" applyFont="1" applyBorder="1" applyAlignment="1">
      <alignment horizontal="center" vertical="center"/>
    </xf>
    <xf numFmtId="44" fontId="3" fillId="0" borderId="1" xfId="2" applyNumberFormat="1" applyFont="1" applyBorder="1" applyAlignment="1">
      <alignment vertical="center" wrapText="1"/>
    </xf>
    <xf numFmtId="0" fontId="3" fillId="0" borderId="1" xfId="3" applyNumberFormat="1" applyFont="1" applyBorder="1" applyAlignment="1">
      <alignment horizontal="left" vertical="center" wrapText="1"/>
    </xf>
    <xf numFmtId="0" fontId="3" fillId="0" borderId="1" xfId="3" applyNumberFormat="1" applyFont="1" applyBorder="1" applyAlignment="1">
      <alignment horizontal="center" vertical="center" wrapText="1"/>
    </xf>
    <xf numFmtId="44" fontId="3" fillId="0" borderId="1" xfId="3" applyFont="1" applyBorder="1" applyAlignment="1">
      <alignment horizontal="center" vertical="center" wrapText="1"/>
    </xf>
    <xf numFmtId="44" fontId="3" fillId="0" borderId="2" xfId="3" applyFont="1" applyBorder="1" applyAlignment="1">
      <alignment horizontal="center" vertical="center" wrapText="1"/>
    </xf>
    <xf numFmtId="44" fontId="3" fillId="0" borderId="4" xfId="3" applyFont="1" applyBorder="1" applyAlignment="1">
      <alignment horizontal="center" vertical="center" wrapText="1"/>
    </xf>
    <xf numFmtId="0" fontId="3" fillId="0" borderId="1" xfId="2" applyNumberFormat="1" applyFont="1" applyFill="1" applyBorder="1" applyAlignment="1">
      <alignment horizontal="center" vertical="center" wrapText="1"/>
    </xf>
    <xf numFmtId="43" fontId="3" fillId="0" borderId="19" xfId="2" applyFont="1" applyBorder="1" applyAlignment="1">
      <alignment horizontal="right" vertical="center"/>
    </xf>
    <xf numFmtId="43" fontId="3" fillId="0" borderId="20" xfId="2" applyFont="1" applyBorder="1" applyAlignment="1">
      <alignment horizontal="right" vertical="center"/>
    </xf>
    <xf numFmtId="43" fontId="3" fillId="0" borderId="13" xfId="2" applyFont="1" applyBorder="1" applyAlignment="1">
      <alignment horizontal="righ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43" fontId="3" fillId="0" borderId="0" xfId="2" applyFont="1" applyFill="1" applyAlignment="1">
      <alignment horizontal="center" vertical="center"/>
    </xf>
    <xf numFmtId="43" fontId="23" fillId="0" borderId="0" xfId="2" applyFont="1" applyAlignment="1">
      <alignment horizontal="center" vertical="center"/>
    </xf>
    <xf numFmtId="43" fontId="26" fillId="0" borderId="0" xfId="2" applyFont="1" applyAlignment="1">
      <alignment horizontal="center" vertical="center"/>
    </xf>
    <xf numFmtId="0" fontId="26" fillId="0" borderId="0" xfId="0" applyFont="1" applyFill="1" applyBorder="1" applyAlignment="1">
      <alignment horizontal="center" vertical="center"/>
    </xf>
    <xf numFmtId="43" fontId="3" fillId="0" borderId="0" xfId="2" applyFont="1" applyAlignment="1">
      <alignment horizontal="justify" vertical="center" wrapText="1"/>
    </xf>
    <xf numFmtId="43" fontId="27" fillId="0" borderId="0" xfId="2"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wrapText="1"/>
    </xf>
    <xf numFmtId="43" fontId="3" fillId="0" borderId="2" xfId="2" applyFont="1" applyBorder="1" applyAlignment="1">
      <alignment horizontal="center" vertical="center"/>
    </xf>
    <xf numFmtId="43" fontId="3" fillId="0" borderId="1" xfId="2" applyFont="1" applyBorder="1" applyAlignment="1">
      <alignment horizontal="center" vertical="center"/>
    </xf>
    <xf numFmtId="43" fontId="0" fillId="0" borderId="0" xfId="2" applyFont="1" applyAlignment="1">
      <alignment wrapText="1"/>
    </xf>
    <xf numFmtId="0" fontId="4" fillId="0" borderId="1" xfId="0" applyFont="1" applyBorder="1" applyAlignment="1">
      <alignment wrapText="1"/>
    </xf>
    <xf numFmtId="43" fontId="4" fillId="0" borderId="1" xfId="2" applyFont="1" applyBorder="1" applyAlignment="1">
      <alignment wrapText="1"/>
    </xf>
    <xf numFmtId="0" fontId="28" fillId="0" borderId="1" xfId="0" applyFont="1" applyBorder="1" applyAlignment="1">
      <alignment wrapText="1"/>
    </xf>
    <xf numFmtId="43" fontId="28" fillId="0" borderId="1" xfId="2" applyFont="1" applyBorder="1" applyAlignment="1">
      <alignment wrapText="1"/>
    </xf>
    <xf numFmtId="0" fontId="3" fillId="6" borderId="1" xfId="0" applyFont="1" applyFill="1" applyBorder="1" applyAlignment="1">
      <alignment horizontal="left" vertical="center" wrapText="1"/>
    </xf>
    <xf numFmtId="0" fontId="29" fillId="6" borderId="1" xfId="0" applyFont="1" applyFill="1" applyBorder="1" applyAlignment="1">
      <alignment vertical="center"/>
    </xf>
    <xf numFmtId="0" fontId="29" fillId="6" borderId="1" xfId="0" applyFont="1" applyFill="1" applyBorder="1" applyAlignment="1">
      <alignment horizontal="left" vertical="center" wrapText="1"/>
    </xf>
    <xf numFmtId="0" fontId="29" fillId="6" borderId="1" xfId="0" applyFont="1" applyFill="1" applyBorder="1" applyAlignment="1">
      <alignment vertical="center" wrapText="1"/>
    </xf>
    <xf numFmtId="0" fontId="29" fillId="6" borderId="1" xfId="0" applyFont="1" applyFill="1" applyBorder="1" applyAlignment="1">
      <alignment horizontal="center" vertical="center" wrapText="1"/>
    </xf>
    <xf numFmtId="9" fontId="29" fillId="6" borderId="1" xfId="0" applyNumberFormat="1" applyFont="1" applyFill="1" applyBorder="1" applyAlignment="1">
      <alignment horizontal="center" vertical="center"/>
    </xf>
    <xf numFmtId="0" fontId="30" fillId="6" borderId="1" xfId="0" applyFont="1" applyFill="1" applyBorder="1" applyAlignment="1">
      <alignment horizontal="left" vertical="center" wrapText="1"/>
    </xf>
    <xf numFmtId="43" fontId="25" fillId="0" borderId="1" xfId="2" applyFont="1" applyFill="1" applyBorder="1" applyAlignment="1">
      <alignment horizontal="center" vertical="center"/>
    </xf>
    <xf numFmtId="43" fontId="25" fillId="0" borderId="1" xfId="2" applyFont="1" applyFill="1" applyBorder="1" applyAlignment="1">
      <alignment horizontal="center" vertical="center" wrapText="1"/>
    </xf>
    <xf numFmtId="43" fontId="23" fillId="0" borderId="1" xfId="2" applyFont="1" applyFill="1" applyBorder="1" applyAlignment="1">
      <alignment horizontal="center" vertical="center" wrapText="1"/>
    </xf>
    <xf numFmtId="43" fontId="23" fillId="0" borderId="1" xfId="2" applyFont="1" applyBorder="1" applyAlignment="1">
      <alignment horizontal="center" vertical="center"/>
    </xf>
    <xf numFmtId="43" fontId="3" fillId="0" borderId="1" xfId="2" applyFont="1" applyBorder="1" applyAlignment="1">
      <alignment horizontal="justify" vertical="center" wrapText="1"/>
    </xf>
    <xf numFmtId="43" fontId="27" fillId="0" borderId="1" xfId="2" applyFont="1" applyFill="1" applyBorder="1" applyAlignment="1">
      <alignment horizontal="center" vertical="center" wrapText="1"/>
    </xf>
    <xf numFmtId="0" fontId="3" fillId="0" borderId="1" xfId="2" applyNumberFormat="1" applyFont="1" applyBorder="1" applyAlignment="1">
      <alignment horizontal="justify" vertical="center" wrapText="1"/>
    </xf>
    <xf numFmtId="0" fontId="29" fillId="6" borderId="1" xfId="0" applyFont="1" applyFill="1" applyBorder="1" applyAlignment="1">
      <alignment horizontal="center" vertical="center"/>
    </xf>
    <xf numFmtId="43" fontId="30" fillId="6" borderId="1" xfId="2" applyFont="1" applyFill="1" applyBorder="1" applyAlignment="1">
      <alignment horizontal="center" vertical="center"/>
    </xf>
    <xf numFmtId="43" fontId="29" fillId="6" borderId="1" xfId="2" applyFont="1" applyFill="1" applyBorder="1" applyAlignment="1">
      <alignment horizontal="center" vertical="center"/>
    </xf>
    <xf numFmtId="43" fontId="31" fillId="6" borderId="1" xfId="2" applyFont="1" applyFill="1" applyBorder="1" applyAlignment="1">
      <alignment horizontal="center" vertical="center" wrapText="1"/>
    </xf>
    <xf numFmtId="43" fontId="25" fillId="8" borderId="0" xfId="2" applyFont="1" applyFill="1" applyAlignment="1">
      <alignment horizontal="center" vertical="center" wrapText="1"/>
    </xf>
    <xf numFmtId="0" fontId="25" fillId="8" borderId="2" xfId="0" applyFont="1" applyFill="1" applyBorder="1" applyAlignment="1">
      <alignment horizontal="center" vertical="center"/>
    </xf>
    <xf numFmtId="0" fontId="25" fillId="8" borderId="2" xfId="0" applyFont="1" applyFill="1" applyBorder="1" applyAlignment="1">
      <alignment horizontal="center" vertical="center" wrapText="1"/>
    </xf>
    <xf numFmtId="0" fontId="25" fillId="8" borderId="19" xfId="0" applyFont="1" applyFill="1" applyBorder="1" applyAlignment="1">
      <alignment horizontal="center" vertical="center"/>
    </xf>
    <xf numFmtId="43" fontId="25" fillId="8" borderId="2" xfId="2" applyFont="1" applyFill="1" applyBorder="1" applyAlignment="1">
      <alignment horizontal="center" vertical="center" wrapText="1"/>
    </xf>
    <xf numFmtId="0" fontId="3" fillId="6" borderId="1" xfId="0" applyFont="1" applyFill="1" applyBorder="1" applyAlignment="1">
      <alignment horizontal="center" vertical="center"/>
    </xf>
    <xf numFmtId="0" fontId="23" fillId="6" borderId="1" xfId="0" applyFont="1" applyFill="1" applyBorder="1" applyAlignment="1">
      <alignment vertical="center"/>
    </xf>
    <xf numFmtId="0" fontId="23" fillId="6" borderId="1" xfId="0" applyFont="1" applyFill="1" applyBorder="1" applyAlignment="1">
      <alignment horizontal="center" vertical="center"/>
    </xf>
    <xf numFmtId="0" fontId="23" fillId="6" borderId="1" xfId="0" applyFont="1" applyFill="1" applyBorder="1" applyAlignment="1">
      <alignment horizontal="left" vertical="center"/>
    </xf>
    <xf numFmtId="0" fontId="23" fillId="6" borderId="1" xfId="0" applyFont="1" applyFill="1" applyBorder="1" applyAlignment="1">
      <alignment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xf>
    <xf numFmtId="43" fontId="3" fillId="0" borderId="2" xfId="2" applyFont="1" applyBorder="1" applyAlignment="1">
      <alignment horizontal="justify" vertical="center" wrapText="1"/>
    </xf>
    <xf numFmtId="43" fontId="27" fillId="0" borderId="2" xfId="2" applyFont="1" applyFill="1" applyBorder="1" applyAlignment="1">
      <alignment horizontal="center" vertical="center" wrapText="1"/>
    </xf>
    <xf numFmtId="0" fontId="23" fillId="6" borderId="1" xfId="0" applyFont="1" applyFill="1" applyBorder="1" applyAlignment="1">
      <alignment horizontal="left" vertical="center" wrapText="1"/>
    </xf>
    <xf numFmtId="43" fontId="23" fillId="6" borderId="1" xfId="2" applyFont="1" applyFill="1" applyBorder="1" applyAlignment="1">
      <alignment horizontal="center" vertical="center"/>
    </xf>
    <xf numFmtId="43" fontId="23" fillId="6" borderId="1" xfId="2" applyFont="1" applyFill="1" applyBorder="1" applyAlignment="1">
      <alignment horizontal="justify" vertical="center" wrapText="1"/>
    </xf>
    <xf numFmtId="43" fontId="27" fillId="6" borderId="1" xfId="2" applyFont="1" applyFill="1" applyBorder="1" applyAlignment="1">
      <alignment horizontal="center" vertical="center" wrapText="1"/>
    </xf>
    <xf numFmtId="0" fontId="25" fillId="8" borderId="16" xfId="0" applyFont="1" applyFill="1" applyBorder="1" applyAlignment="1">
      <alignment horizontal="center" vertical="center" wrapText="1"/>
    </xf>
    <xf numFmtId="43" fontId="3" fillId="0" borderId="1" xfId="2" applyFont="1" applyBorder="1" applyAlignment="1">
      <alignment horizontal="justify" vertical="center"/>
    </xf>
    <xf numFmtId="0" fontId="30" fillId="6" borderId="1" xfId="0" applyFont="1" applyFill="1" applyBorder="1" applyAlignment="1">
      <alignment horizontal="center" vertical="center"/>
    </xf>
    <xf numFmtId="0" fontId="30" fillId="6" borderId="1" xfId="0" applyFont="1" applyFill="1" applyBorder="1" applyAlignment="1">
      <alignment vertical="center"/>
    </xf>
    <xf numFmtId="0" fontId="30" fillId="6" borderId="1" xfId="0" applyFont="1" applyFill="1" applyBorder="1" applyAlignment="1">
      <alignment horizontal="left" vertical="center"/>
    </xf>
    <xf numFmtId="0" fontId="30" fillId="6" borderId="1" xfId="0" applyFont="1" applyFill="1" applyBorder="1" applyAlignment="1">
      <alignment vertical="center" wrapText="1"/>
    </xf>
    <xf numFmtId="0" fontId="3" fillId="0" borderId="1" xfId="0" applyFont="1" applyFill="1" applyBorder="1" applyAlignment="1">
      <alignment horizontal="center" vertical="center" wrapText="1"/>
    </xf>
    <xf numFmtId="0" fontId="23" fillId="0" borderId="0" xfId="0" applyFont="1" applyAlignment="1">
      <alignment horizontal="center" vertical="center"/>
    </xf>
    <xf numFmtId="0" fontId="3" fillId="0" borderId="1" xfId="0" applyFont="1" applyFill="1" applyBorder="1" applyAlignment="1">
      <alignment horizontal="center" vertical="center"/>
    </xf>
    <xf numFmtId="0" fontId="27" fillId="0" borderId="0" xfId="0" applyFont="1" applyFill="1" applyBorder="1" applyAlignment="1">
      <alignment horizontal="center" vertical="center"/>
    </xf>
    <xf numFmtId="43" fontId="3" fillId="7" borderId="1" xfId="2" applyFont="1" applyFill="1" applyBorder="1" applyAlignment="1">
      <alignment horizontal="center" vertical="center"/>
    </xf>
    <xf numFmtId="0" fontId="23" fillId="6" borderId="1" xfId="0" applyFont="1" applyFill="1" applyBorder="1" applyAlignment="1">
      <alignment horizontal="center" vertical="center" wrapText="1"/>
    </xf>
    <xf numFmtId="43" fontId="30" fillId="6" borderId="1" xfId="2" applyFont="1" applyFill="1" applyBorder="1" applyAlignment="1">
      <alignment horizontal="justify" vertical="center" wrapText="1"/>
    </xf>
    <xf numFmtId="0" fontId="25" fillId="8" borderId="3" xfId="0" applyFont="1" applyFill="1" applyBorder="1" applyAlignment="1">
      <alignment horizontal="center" vertical="center"/>
    </xf>
    <xf numFmtId="0" fontId="25" fillId="8" borderId="3" xfId="0" applyFont="1" applyFill="1" applyBorder="1" applyAlignment="1">
      <alignment horizontal="center" vertical="center" wrapText="1"/>
    </xf>
    <xf numFmtId="43" fontId="32" fillId="0" borderId="0" xfId="2" applyFont="1" applyAlignment="1">
      <alignment horizontal="center" vertical="center"/>
    </xf>
    <xf numFmtId="0" fontId="33" fillId="0" borderId="1" xfId="0" applyFont="1" applyBorder="1" applyAlignment="1">
      <alignment horizontal="center" wrapText="1"/>
    </xf>
    <xf numFmtId="43" fontId="33" fillId="0" borderId="1" xfId="2" applyFont="1"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9" fontId="0" fillId="0" borderId="1" xfId="4" applyFont="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4" fillId="0" borderId="0" xfId="0" applyFont="1" applyAlignment="1">
      <alignment horizontal="center" vertical="center"/>
    </xf>
    <xf numFmtId="0" fontId="3" fillId="0" borderId="1" xfId="0" applyFont="1" applyBorder="1" applyAlignment="1">
      <alignment horizontal="center" vertical="center" textRotation="255"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3" fillId="0" borderId="2" xfId="0" applyFont="1" applyBorder="1" applyAlignment="1">
      <alignment horizontal="center" vertical="center" textRotation="255" wrapText="1"/>
    </xf>
    <xf numFmtId="0" fontId="23" fillId="0" borderId="3" xfId="0" applyFont="1" applyBorder="1" applyAlignment="1">
      <alignment horizontal="center" vertical="center" textRotation="255" wrapText="1"/>
    </xf>
    <xf numFmtId="0" fontId="23" fillId="0" borderId="4" xfId="0" applyFont="1" applyBorder="1" applyAlignment="1">
      <alignment horizontal="center" vertical="center" textRotation="255" wrapText="1"/>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44" fontId="3" fillId="0" borderId="1" xfId="2" applyNumberFormat="1" applyFont="1" applyBorder="1" applyAlignment="1">
      <alignment horizontal="center" vertical="center" wrapText="1"/>
    </xf>
    <xf numFmtId="43" fontId="3" fillId="0" borderId="1" xfId="2" applyFont="1" applyBorder="1" applyAlignment="1">
      <alignment horizontal="center" vertical="center"/>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44" fontId="3" fillId="0" borderId="19" xfId="2" applyNumberFormat="1" applyFont="1" applyBorder="1" applyAlignment="1">
      <alignment horizontal="center" vertical="center" wrapText="1"/>
    </xf>
    <xf numFmtId="44" fontId="3" fillId="0" borderId="20" xfId="2" applyNumberFormat="1" applyFont="1" applyBorder="1" applyAlignment="1">
      <alignment horizontal="center" vertical="center" wrapText="1"/>
    </xf>
    <xf numFmtId="44" fontId="3" fillId="0" borderId="13" xfId="2" applyNumberFormat="1" applyFont="1" applyBorder="1" applyAlignment="1">
      <alignment horizontal="center" vertical="center" wrapText="1"/>
    </xf>
    <xf numFmtId="44" fontId="3" fillId="0" borderId="2" xfId="2" applyNumberFormat="1" applyFont="1" applyBorder="1" applyAlignment="1">
      <alignment horizontal="center" vertical="center" wrapText="1"/>
    </xf>
    <xf numFmtId="44" fontId="3" fillId="0" borderId="3" xfId="2" applyNumberFormat="1" applyFont="1" applyBorder="1" applyAlignment="1">
      <alignment horizontal="center" vertical="center" wrapText="1"/>
    </xf>
    <xf numFmtId="44" fontId="3" fillId="0" borderId="4" xfId="2" applyNumberFormat="1" applyFont="1" applyBorder="1" applyAlignment="1">
      <alignment horizontal="center" vertical="center" wrapText="1"/>
    </xf>
    <xf numFmtId="0" fontId="3" fillId="0" borderId="1" xfId="2" applyNumberFormat="1" applyFont="1" applyBorder="1" applyAlignment="1">
      <alignment horizontal="left" vertical="center" wrapText="1"/>
    </xf>
    <xf numFmtId="0" fontId="3" fillId="0" borderId="1" xfId="2" applyNumberFormat="1" applyFont="1" applyBorder="1" applyAlignment="1">
      <alignment horizontal="center" vertical="center" wrapText="1"/>
    </xf>
    <xf numFmtId="44" fontId="3" fillId="0" borderId="2" xfId="2" applyNumberFormat="1" applyFont="1" applyFill="1" applyBorder="1" applyAlignment="1">
      <alignment horizontal="center" vertical="center" wrapText="1"/>
    </xf>
    <xf numFmtId="44" fontId="3" fillId="0" borderId="3" xfId="2" applyNumberFormat="1" applyFont="1" applyFill="1" applyBorder="1" applyAlignment="1">
      <alignment horizontal="center" vertical="center" wrapText="1"/>
    </xf>
    <xf numFmtId="44" fontId="3" fillId="0" borderId="4" xfId="2" applyNumberFormat="1" applyFont="1" applyFill="1" applyBorder="1" applyAlignment="1">
      <alignment horizontal="center" vertical="center" wrapText="1"/>
    </xf>
    <xf numFmtId="43" fontId="3" fillId="0" borderId="1" xfId="2" applyFont="1" applyBorder="1" applyAlignment="1">
      <alignment horizontal="center" vertical="center" wrapText="1"/>
    </xf>
    <xf numFmtId="0" fontId="23" fillId="0" borderId="5" xfId="0" applyFont="1" applyBorder="1" applyAlignment="1">
      <alignment horizontal="center" vertical="center" wrapText="1"/>
    </xf>
    <xf numFmtId="43" fontId="3" fillId="0" borderId="1" xfId="2"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167" fontId="3" fillId="0" borderId="14" xfId="2" applyNumberFormat="1" applyFont="1" applyBorder="1" applyAlignment="1">
      <alignment horizontal="center" vertical="center" wrapText="1"/>
    </xf>
    <xf numFmtId="167" fontId="3" fillId="0" borderId="0" xfId="2" applyNumberFormat="1" applyFont="1" applyBorder="1" applyAlignment="1">
      <alignment horizontal="center" vertical="center" wrapText="1"/>
    </xf>
    <xf numFmtId="167" fontId="3" fillId="0" borderId="15" xfId="2" applyNumberFormat="1" applyFont="1" applyBorder="1" applyAlignment="1">
      <alignment horizontal="center" vertical="center" wrapText="1"/>
    </xf>
    <xf numFmtId="0" fontId="3" fillId="0" borderId="2" xfId="3" applyNumberFormat="1" applyFont="1" applyBorder="1" applyAlignment="1">
      <alignment horizontal="left" vertical="center" wrapText="1"/>
    </xf>
    <xf numFmtId="0" fontId="3" fillId="0" borderId="4" xfId="3" applyNumberFormat="1"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2" xfId="0" applyFont="1" applyBorder="1" applyAlignment="1">
      <alignment horizontal="left" vertical="center" wrapText="1"/>
    </xf>
    <xf numFmtId="43" fontId="3" fillId="0" borderId="2" xfId="2" applyFont="1" applyBorder="1" applyAlignment="1">
      <alignment horizontal="center" vertical="center"/>
    </xf>
    <xf numFmtId="43" fontId="3" fillId="0" borderId="3" xfId="2" applyFont="1" applyBorder="1" applyAlignment="1">
      <alignment horizontal="center" vertical="center"/>
    </xf>
    <xf numFmtId="43" fontId="3" fillId="0" borderId="4" xfId="2" applyFont="1" applyBorder="1" applyAlignment="1">
      <alignment horizontal="center" vertical="center"/>
    </xf>
    <xf numFmtId="0" fontId="3" fillId="0" borderId="2" xfId="2" applyNumberFormat="1" applyFont="1" applyBorder="1" applyAlignment="1">
      <alignment horizontal="center" vertical="center" wrapText="1"/>
    </xf>
    <xf numFmtId="0" fontId="3" fillId="0" borderId="3" xfId="2" applyNumberFormat="1" applyFont="1" applyBorder="1" applyAlignment="1">
      <alignment horizontal="center" vertical="center" wrapText="1"/>
    </xf>
    <xf numFmtId="0" fontId="3" fillId="0" borderId="2" xfId="3" applyNumberFormat="1" applyFont="1" applyBorder="1" applyAlignment="1">
      <alignment horizontal="center" vertical="center" wrapText="1"/>
    </xf>
    <xf numFmtId="0" fontId="3" fillId="0" borderId="4" xfId="3" applyNumberFormat="1" applyFont="1" applyBorder="1" applyAlignment="1">
      <alignment horizontal="center" vertical="center" wrapText="1"/>
    </xf>
    <xf numFmtId="44" fontId="3" fillId="0" borderId="2" xfId="3" applyFont="1" applyBorder="1" applyAlignment="1">
      <alignment horizontal="center" vertical="center"/>
    </xf>
    <xf numFmtId="44" fontId="3" fillId="0" borderId="3" xfId="3" applyFont="1" applyBorder="1" applyAlignment="1">
      <alignment horizontal="center" vertical="center"/>
    </xf>
    <xf numFmtId="44" fontId="3" fillId="0" borderId="4" xfId="3" applyFont="1" applyBorder="1" applyAlignment="1">
      <alignment horizontal="center" vertical="center"/>
    </xf>
    <xf numFmtId="44" fontId="3" fillId="0" borderId="2" xfId="3" applyFont="1" applyBorder="1" applyAlignment="1">
      <alignment horizontal="center" vertical="center" wrapText="1"/>
    </xf>
    <xf numFmtId="44" fontId="3" fillId="0" borderId="4" xfId="3" applyFont="1" applyBorder="1" applyAlignment="1">
      <alignment horizontal="center" vertical="center" wrapText="1"/>
    </xf>
    <xf numFmtId="0" fontId="3" fillId="0" borderId="2" xfId="2" applyNumberFormat="1" applyFont="1" applyBorder="1" applyAlignment="1">
      <alignment horizontal="left" vertical="center" wrapText="1"/>
    </xf>
    <xf numFmtId="0" fontId="3" fillId="0" borderId="3" xfId="2" applyNumberFormat="1" applyFont="1" applyBorder="1" applyAlignment="1">
      <alignment horizontal="left" vertical="center" wrapText="1"/>
    </xf>
    <xf numFmtId="0" fontId="3" fillId="0" borderId="4" xfId="2" applyNumberFormat="1" applyFont="1" applyBorder="1" applyAlignment="1">
      <alignment horizontal="left" vertical="center" wrapText="1"/>
    </xf>
    <xf numFmtId="0" fontId="3" fillId="0" borderId="4" xfId="2" applyNumberFormat="1" applyFont="1" applyBorder="1" applyAlignment="1">
      <alignment horizontal="center" vertical="center" wrapText="1"/>
    </xf>
    <xf numFmtId="44" fontId="23" fillId="2" borderId="1" xfId="2" applyNumberFormat="1" applyFont="1" applyFill="1" applyBorder="1" applyAlignment="1">
      <alignment horizontal="center" vertical="center" wrapText="1"/>
    </xf>
  </cellXfs>
  <cellStyles count="5">
    <cellStyle name="Millares" xfId="2" builtinId="3"/>
    <cellStyle name="Moneda" xfId="3" builtinId="4"/>
    <cellStyle name="Moneda [0]" xfId="1"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Gastos</a:t>
            </a:r>
            <a:r>
              <a:rPr lang="es-CO" baseline="0"/>
              <a:t> Proyectos de Inversión 2025</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(RESUMEN!$A$3,RESUMEN!$A$6,RESUMEN!$A$15)</c:f>
              <c:strCache>
                <c:ptCount val="3"/>
                <c:pt idx="0">
                  <c:v>Linea 1. Innovación en la gestion integral del recurso hidrico</c:v>
                </c:pt>
                <c:pt idx="1">
                  <c:v>Linea 2. Gestión Integral de los ecosistemas, la biodiversidad y el cambio climático</c:v>
                </c:pt>
                <c:pt idx="2">
                  <c:v>Línea 3. Fortalecimiento institucional para la gobernabilidad y la  gobernanza ambiental </c:v>
                </c:pt>
              </c:strCache>
            </c:strRef>
          </c:cat>
          <c:val>
            <c:numRef>
              <c:f>(RESUMEN!$B$3,RESUMEN!$B$6,RESUMEN!$B$15)</c:f>
              <c:numCache>
                <c:formatCode>_(* #,##0.00_);_(* \(#,##0.00\);_(* "-"??_);_(@_)</c:formatCode>
                <c:ptCount val="3"/>
                <c:pt idx="0">
                  <c:v>9223.5126063299995</c:v>
                </c:pt>
                <c:pt idx="1">
                  <c:v>17332.890741110001</c:v>
                </c:pt>
                <c:pt idx="2">
                  <c:v>16761.090316900001</c:v>
                </c:pt>
              </c:numCache>
            </c:numRef>
          </c:val>
          <c:extLst>
            <c:ext xmlns:c16="http://schemas.microsoft.com/office/drawing/2014/chart" uri="{C3380CC4-5D6E-409C-BE32-E72D297353CC}">
              <c16:uniqueId val="{00000000-C82A-4629-9BE2-814A97845933}"/>
            </c:ext>
          </c:extLst>
        </c:ser>
        <c:dLbls>
          <c:showLegendKey val="0"/>
          <c:showVal val="0"/>
          <c:showCatName val="0"/>
          <c:showSerName val="0"/>
          <c:showPercent val="0"/>
          <c:showBubbleSize val="0"/>
        </c:dLbls>
        <c:gapWidth val="219"/>
        <c:overlap val="-27"/>
        <c:axId val="1962220079"/>
        <c:axId val="2106902575"/>
      </c:barChart>
      <c:catAx>
        <c:axId val="196222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06902575"/>
        <c:crosses val="autoZero"/>
        <c:auto val="1"/>
        <c:lblAlgn val="ctr"/>
        <c:lblOffset val="100"/>
        <c:noMultiLvlLbl val="0"/>
      </c:catAx>
      <c:valAx>
        <c:axId val="2106902575"/>
        <c:scaling>
          <c:orientation val="minMax"/>
        </c:scaling>
        <c:delete val="1"/>
        <c:axPos val="l"/>
        <c:numFmt formatCode="_(* #,##0.00_);_(* \(#,##0.00\);_(* &quot;-&quot;??_);_(@_)" sourceLinked="1"/>
        <c:majorTickMark val="none"/>
        <c:minorTickMark val="none"/>
        <c:tickLblPos val="nextTo"/>
        <c:crossAx val="19622200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547687</xdr:colOff>
      <xdr:row>0</xdr:row>
      <xdr:rowOff>333375</xdr:rowOff>
    </xdr:from>
    <xdr:to>
      <xdr:col>9</xdr:col>
      <xdr:colOff>90487</xdr:colOff>
      <xdr:row>9</xdr:row>
      <xdr:rowOff>552450</xdr:rowOff>
    </xdr:to>
    <xdr:graphicFrame macro="">
      <xdr:nvGraphicFramePr>
        <xdr:cNvPr id="2" name="Gráfico 1">
          <a:extLst>
            <a:ext uri="{FF2B5EF4-FFF2-40B4-BE49-F238E27FC236}">
              <a16:creationId xmlns:a16="http://schemas.microsoft.com/office/drawing/2014/main" id="{0E482193-1DF7-45E7-8F8D-0B0D8BA0BD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M99"/>
  <sheetViews>
    <sheetView tabSelected="1" topLeftCell="G2" zoomScale="70" zoomScaleNormal="70" workbookViewId="0">
      <pane xSplit="1" ySplit="6" topLeftCell="H8" activePane="bottomRight" state="frozen"/>
      <selection activeCell="G2" sqref="G2"/>
      <selection pane="topRight" activeCell="H2" sqref="H2"/>
      <selection pane="bottomLeft" activeCell="G8" sqref="G8"/>
      <selection pane="bottomRight" activeCell="P96" sqref="P96"/>
    </sheetView>
  </sheetViews>
  <sheetFormatPr baseColWidth="10" defaultColWidth="10.875" defaultRowHeight="18"/>
  <cols>
    <col min="1" max="1" width="10.875" style="53"/>
    <col min="2" max="2" width="15.875" style="53" customWidth="1"/>
    <col min="3" max="3" width="19.5" style="53" customWidth="1"/>
    <col min="4" max="4" width="22" style="53" customWidth="1"/>
    <col min="5" max="5" width="29.875" style="54" customWidth="1"/>
    <col min="6" max="6" width="14" style="82" customWidth="1"/>
    <col min="7" max="7" width="23.125" style="53" customWidth="1"/>
    <col min="8" max="8" width="43.25" style="83" customWidth="1"/>
    <col min="9" max="9" width="29.625" style="84" customWidth="1"/>
    <col min="10" max="10" width="21.5" style="53" customWidth="1"/>
    <col min="11" max="11" width="14.375" style="53" customWidth="1"/>
    <col min="12" max="12" width="23.125" style="56" hidden="1" customWidth="1"/>
    <col min="13" max="13" width="48.125" style="119" customWidth="1"/>
    <col min="14" max="14" width="25.375" style="119" customWidth="1"/>
    <col min="15" max="15" width="19.625" style="119" customWidth="1"/>
    <col min="16" max="16" width="32.25" style="119" customWidth="1"/>
    <col min="17" max="17" width="24.625" style="56" customWidth="1"/>
    <col min="18" max="18" width="24" style="56" customWidth="1"/>
    <col min="19" max="19" width="23.125" style="56" customWidth="1"/>
    <col min="20" max="20" width="23.75" style="56" bestFit="1" customWidth="1"/>
    <col min="21" max="21" width="24" style="56" customWidth="1"/>
    <col min="22" max="22" width="21.25" style="56" customWidth="1"/>
    <col min="23" max="23" width="27.5" style="56" customWidth="1"/>
    <col min="24" max="24" width="24.125" style="56" customWidth="1"/>
    <col min="25" max="25" width="22.125" style="56" customWidth="1"/>
    <col min="26" max="26" width="22.75" style="56" customWidth="1"/>
    <col min="27" max="27" width="21.625" style="56" customWidth="1"/>
    <col min="28" max="29" width="20.25" style="56" customWidth="1"/>
    <col min="30" max="30" width="26.5" style="56" customWidth="1"/>
    <col min="31" max="32" width="25.125" style="56" customWidth="1"/>
    <col min="33" max="33" width="25.75" style="56" customWidth="1"/>
    <col min="34" max="34" width="25.25" style="56" customWidth="1"/>
    <col min="35" max="35" width="27.125" style="56" customWidth="1"/>
    <col min="36" max="36" width="36.625" style="56" customWidth="1"/>
    <col min="37" max="37" width="31.125" style="56" bestFit="1" customWidth="1"/>
    <col min="38" max="38" width="10.875" style="53"/>
    <col min="39" max="39" width="28" style="53" customWidth="1"/>
    <col min="40" max="40" width="10.875" style="53"/>
    <col min="41" max="41" width="20.125" style="53" bestFit="1" customWidth="1"/>
    <col min="42" max="16384" width="10.875" style="53"/>
  </cols>
  <sheetData>
    <row r="2" spans="2:39" ht="39.75" customHeight="1">
      <c r="G2" s="201" t="s">
        <v>636</v>
      </c>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row>
    <row r="3" spans="2:39" ht="48" customHeight="1">
      <c r="G3" s="201" t="s">
        <v>637</v>
      </c>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row>
    <row r="4" spans="2:39" s="180" customFormat="1" ht="56.45" customHeight="1">
      <c r="B4" s="154" t="s">
        <v>54</v>
      </c>
      <c r="C4" s="154" t="s">
        <v>3</v>
      </c>
      <c r="D4" s="154" t="s">
        <v>2</v>
      </c>
      <c r="E4" s="155" t="s">
        <v>1</v>
      </c>
      <c r="F4" s="156" t="s">
        <v>102</v>
      </c>
      <c r="G4" s="156" t="s">
        <v>146</v>
      </c>
      <c r="H4" s="154" t="s">
        <v>106</v>
      </c>
      <c r="I4" s="155" t="s">
        <v>30</v>
      </c>
      <c r="J4" s="154" t="s">
        <v>6</v>
      </c>
      <c r="K4" s="154" t="s">
        <v>623</v>
      </c>
      <c r="L4" s="153" t="s">
        <v>601</v>
      </c>
      <c r="M4" s="153" t="s">
        <v>8</v>
      </c>
      <c r="N4" s="153" t="s">
        <v>611</v>
      </c>
      <c r="O4" s="153" t="s">
        <v>643</v>
      </c>
      <c r="P4" s="153" t="s">
        <v>600</v>
      </c>
      <c r="Q4" s="157" t="s">
        <v>579</v>
      </c>
      <c r="R4" s="157" t="s">
        <v>580</v>
      </c>
      <c r="S4" s="157" t="s">
        <v>581</v>
      </c>
      <c r="T4" s="157" t="s">
        <v>582</v>
      </c>
      <c r="U4" s="157" t="s">
        <v>583</v>
      </c>
      <c r="V4" s="157" t="s">
        <v>584</v>
      </c>
      <c r="W4" s="157" t="s">
        <v>585</v>
      </c>
      <c r="X4" s="157" t="s">
        <v>586</v>
      </c>
      <c r="Y4" s="157" t="s">
        <v>597</v>
      </c>
      <c r="Z4" s="157" t="s">
        <v>587</v>
      </c>
      <c r="AA4" s="157" t="s">
        <v>588</v>
      </c>
      <c r="AB4" s="157" t="s">
        <v>589</v>
      </c>
      <c r="AC4" s="157" t="s">
        <v>596</v>
      </c>
      <c r="AD4" s="157" t="s">
        <v>590</v>
      </c>
      <c r="AE4" s="157" t="s">
        <v>591</v>
      </c>
      <c r="AF4" s="157" t="s">
        <v>599</v>
      </c>
      <c r="AG4" s="157" t="s">
        <v>592</v>
      </c>
      <c r="AH4" s="157" t="s">
        <v>593</v>
      </c>
      <c r="AI4" s="157" t="s">
        <v>594</v>
      </c>
      <c r="AJ4" s="157" t="s">
        <v>595</v>
      </c>
      <c r="AK4" s="157" t="s">
        <v>598</v>
      </c>
    </row>
    <row r="5" spans="2:39" ht="27" hidden="1" customHeight="1">
      <c r="B5" s="181"/>
      <c r="C5" s="181"/>
      <c r="D5" s="181"/>
      <c r="E5" s="179"/>
      <c r="F5" s="121"/>
      <c r="G5" s="121"/>
      <c r="H5" s="121"/>
      <c r="I5" s="122"/>
      <c r="J5" s="121"/>
      <c r="K5" s="121"/>
      <c r="L5" s="142"/>
      <c r="M5" s="143"/>
      <c r="N5" s="143"/>
      <c r="O5" s="143"/>
      <c r="P5" s="144">
        <f>SUM(Q5:AK5)</f>
        <v>43317493664.339996</v>
      </c>
      <c r="Q5" s="145">
        <v>13910984164.34</v>
      </c>
      <c r="R5" s="145">
        <v>13574448000</v>
      </c>
      <c r="S5" s="145">
        <v>3050091900</v>
      </c>
      <c r="T5" s="145">
        <v>3428775000</v>
      </c>
      <c r="U5" s="145">
        <v>2326374000</v>
      </c>
      <c r="V5" s="145">
        <v>633137400</v>
      </c>
      <c r="W5" s="145">
        <v>89410300</v>
      </c>
      <c r="X5" s="145">
        <v>410235000</v>
      </c>
      <c r="Y5" s="145">
        <v>186105500</v>
      </c>
      <c r="Z5" s="145">
        <v>650961500</v>
      </c>
      <c r="AA5" s="145">
        <v>721401100</v>
      </c>
      <c r="AB5" s="145">
        <v>85505000</v>
      </c>
      <c r="AC5" s="145">
        <v>420000</v>
      </c>
      <c r="AD5" s="145">
        <v>396756000</v>
      </c>
      <c r="AE5" s="145">
        <v>1350000000</v>
      </c>
      <c r="AF5" s="145">
        <v>199564500</v>
      </c>
      <c r="AG5" s="145">
        <v>998103200</v>
      </c>
      <c r="AH5" s="145">
        <v>963243600</v>
      </c>
      <c r="AI5" s="145">
        <v>326700000</v>
      </c>
      <c r="AJ5" s="145">
        <v>8527500</v>
      </c>
      <c r="AK5" s="145">
        <v>6750000</v>
      </c>
    </row>
    <row r="6" spans="2:39" ht="27" hidden="1" customHeight="1">
      <c r="B6" s="181"/>
      <c r="C6" s="181"/>
      <c r="D6" s="181"/>
      <c r="E6" s="179"/>
      <c r="F6" s="121"/>
      <c r="G6" s="121"/>
      <c r="H6" s="121"/>
      <c r="I6" s="122"/>
      <c r="J6" s="121"/>
      <c r="K6" s="121"/>
      <c r="L6" s="142"/>
      <c r="M6" s="143"/>
      <c r="N6" s="143"/>
      <c r="O6" s="143"/>
      <c r="P6" s="144"/>
      <c r="Q6" s="145">
        <f t="shared" ref="Q6:W6" si="0">SUM(Q8:Q93)</f>
        <v>13910984164.34</v>
      </c>
      <c r="R6" s="145">
        <f t="shared" si="0"/>
        <v>13574448000</v>
      </c>
      <c r="S6" s="145">
        <f t="shared" si="0"/>
        <v>3050091900</v>
      </c>
      <c r="T6" s="145">
        <f t="shared" si="0"/>
        <v>3428775000</v>
      </c>
      <c r="U6" s="145">
        <f t="shared" si="0"/>
        <v>2326374000</v>
      </c>
      <c r="V6" s="145">
        <f t="shared" si="0"/>
        <v>633137400</v>
      </c>
      <c r="W6" s="145">
        <f t="shared" si="0"/>
        <v>89410300</v>
      </c>
      <c r="X6" s="145">
        <f>SUM(X9:X93)</f>
        <v>410235000</v>
      </c>
      <c r="Y6" s="145">
        <f t="shared" ref="Y6:AK6" si="1">SUM(Y8:Y93)</f>
        <v>186105500</v>
      </c>
      <c r="Z6" s="145">
        <f t="shared" si="1"/>
        <v>650961500</v>
      </c>
      <c r="AA6" s="145">
        <f t="shared" si="1"/>
        <v>721401100</v>
      </c>
      <c r="AB6" s="145">
        <f t="shared" si="1"/>
        <v>85505000</v>
      </c>
      <c r="AC6" s="145">
        <f t="shared" si="1"/>
        <v>420000</v>
      </c>
      <c r="AD6" s="145">
        <f t="shared" si="1"/>
        <v>396756000</v>
      </c>
      <c r="AE6" s="145">
        <f t="shared" si="1"/>
        <v>1350000000</v>
      </c>
      <c r="AF6" s="145">
        <f t="shared" si="1"/>
        <v>199564500</v>
      </c>
      <c r="AG6" s="145">
        <f t="shared" si="1"/>
        <v>998103200</v>
      </c>
      <c r="AH6" s="145">
        <f t="shared" si="1"/>
        <v>963243600</v>
      </c>
      <c r="AI6" s="145">
        <f t="shared" si="1"/>
        <v>326700000</v>
      </c>
      <c r="AJ6" s="145">
        <f t="shared" si="1"/>
        <v>8527500</v>
      </c>
      <c r="AK6" s="145">
        <f t="shared" si="1"/>
        <v>6750000</v>
      </c>
    </row>
    <row r="7" spans="2:39" ht="27" hidden="1" customHeight="1">
      <c r="B7" s="181"/>
      <c r="C7" s="181"/>
      <c r="D7" s="181"/>
      <c r="E7" s="179"/>
      <c r="F7" s="121"/>
      <c r="G7" s="121"/>
      <c r="H7" s="121"/>
      <c r="I7" s="122"/>
      <c r="J7" s="121"/>
      <c r="K7" s="121"/>
      <c r="L7" s="142"/>
      <c r="M7" s="143"/>
      <c r="N7" s="143"/>
      <c r="O7" s="143"/>
      <c r="P7" s="145">
        <f>SUM(Q7:AK7)</f>
        <v>0</v>
      </c>
      <c r="Q7" s="145">
        <f>+Q5-Q6</f>
        <v>0</v>
      </c>
      <c r="R7" s="145">
        <f t="shared" ref="R7:AK7" si="2">+R5-R6</f>
        <v>0</v>
      </c>
      <c r="S7" s="145">
        <f t="shared" si="2"/>
        <v>0</v>
      </c>
      <c r="T7" s="145">
        <f t="shared" si="2"/>
        <v>0</v>
      </c>
      <c r="U7" s="145">
        <f t="shared" si="2"/>
        <v>0</v>
      </c>
      <c r="V7" s="145">
        <f t="shared" si="2"/>
        <v>0</v>
      </c>
      <c r="W7" s="145">
        <f t="shared" si="2"/>
        <v>0</v>
      </c>
      <c r="X7" s="145">
        <f t="shared" si="2"/>
        <v>0</v>
      </c>
      <c r="Y7" s="145">
        <f t="shared" si="2"/>
        <v>0</v>
      </c>
      <c r="Z7" s="145">
        <f t="shared" si="2"/>
        <v>0</v>
      </c>
      <c r="AA7" s="145">
        <f t="shared" si="2"/>
        <v>0</v>
      </c>
      <c r="AB7" s="145">
        <f t="shared" si="2"/>
        <v>0</v>
      </c>
      <c r="AC7" s="145">
        <f t="shared" si="2"/>
        <v>0</v>
      </c>
      <c r="AD7" s="145">
        <f t="shared" si="2"/>
        <v>0</v>
      </c>
      <c r="AE7" s="145">
        <f t="shared" si="2"/>
        <v>0</v>
      </c>
      <c r="AF7" s="145">
        <f t="shared" si="2"/>
        <v>0</v>
      </c>
      <c r="AG7" s="145">
        <f t="shared" si="2"/>
        <v>0</v>
      </c>
      <c r="AH7" s="145">
        <f t="shared" si="2"/>
        <v>0</v>
      </c>
      <c r="AI7" s="145">
        <f t="shared" si="2"/>
        <v>0</v>
      </c>
      <c r="AJ7" s="145">
        <f t="shared" si="2"/>
        <v>0</v>
      </c>
      <c r="AK7" s="145">
        <f t="shared" si="2"/>
        <v>0</v>
      </c>
    </row>
    <row r="8" spans="2:39" ht="102.75" customHeight="1">
      <c r="B8" s="202" t="s">
        <v>272</v>
      </c>
      <c r="C8" s="194" t="s">
        <v>0</v>
      </c>
      <c r="D8" s="194" t="s">
        <v>105</v>
      </c>
      <c r="E8" s="194" t="s">
        <v>273</v>
      </c>
      <c r="F8" s="126" t="s">
        <v>103</v>
      </c>
      <c r="G8" s="123" t="s">
        <v>147</v>
      </c>
      <c r="H8" s="125" t="s">
        <v>314</v>
      </c>
      <c r="I8" s="124" t="s">
        <v>315</v>
      </c>
      <c r="J8" s="123" t="s">
        <v>25</v>
      </c>
      <c r="K8" s="36">
        <v>0.7</v>
      </c>
      <c r="L8" s="129">
        <v>80000000</v>
      </c>
      <c r="M8" s="146" t="s">
        <v>624</v>
      </c>
      <c r="N8" s="146"/>
      <c r="O8" s="146"/>
      <c r="P8" s="146">
        <f>SUM(Q8:AK8)</f>
        <v>80000000</v>
      </c>
      <c r="Q8" s="129"/>
      <c r="R8" s="129">
        <v>80000000</v>
      </c>
      <c r="S8" s="129"/>
      <c r="T8" s="129"/>
      <c r="U8" s="129"/>
      <c r="V8" s="129"/>
      <c r="W8" s="129"/>
      <c r="X8" s="129"/>
      <c r="Y8" s="129"/>
      <c r="Z8" s="129"/>
      <c r="AA8" s="129"/>
      <c r="AB8" s="129"/>
      <c r="AC8" s="129"/>
      <c r="AD8" s="129"/>
      <c r="AE8" s="129"/>
      <c r="AF8" s="129"/>
      <c r="AG8" s="129"/>
      <c r="AH8" s="129"/>
      <c r="AI8" s="129"/>
      <c r="AJ8" s="147"/>
      <c r="AK8" s="147"/>
      <c r="AL8" s="118"/>
      <c r="AM8" s="118"/>
    </row>
    <row r="9" spans="2:39" ht="90">
      <c r="B9" s="202"/>
      <c r="C9" s="194"/>
      <c r="D9" s="194"/>
      <c r="E9" s="194"/>
      <c r="F9" s="126" t="s">
        <v>119</v>
      </c>
      <c r="G9" s="123" t="s">
        <v>148</v>
      </c>
      <c r="H9" s="125" t="s">
        <v>316</v>
      </c>
      <c r="I9" s="124" t="s">
        <v>317</v>
      </c>
      <c r="J9" s="123" t="s">
        <v>25</v>
      </c>
      <c r="K9" s="36">
        <v>0.8</v>
      </c>
      <c r="L9" s="129">
        <v>80000000</v>
      </c>
      <c r="M9" s="146" t="s">
        <v>624</v>
      </c>
      <c r="N9" s="146"/>
      <c r="O9" s="146"/>
      <c r="P9" s="146">
        <f t="shared" ref="P9:P64" si="3">SUM(Q9:AK9)</f>
        <v>80000000</v>
      </c>
      <c r="Q9" s="129"/>
      <c r="R9" s="129">
        <v>80000000</v>
      </c>
      <c r="S9" s="129"/>
      <c r="T9" s="129"/>
      <c r="U9" s="129"/>
      <c r="V9" s="129"/>
      <c r="W9" s="129"/>
      <c r="X9" s="129"/>
      <c r="Y9" s="129"/>
      <c r="Z9" s="129"/>
      <c r="AA9" s="129"/>
      <c r="AB9" s="129"/>
      <c r="AC9" s="129"/>
      <c r="AD9" s="129"/>
      <c r="AE9" s="129"/>
      <c r="AF9" s="129"/>
      <c r="AG9" s="129"/>
      <c r="AH9" s="129"/>
      <c r="AI9" s="129"/>
      <c r="AJ9" s="147"/>
      <c r="AK9" s="147"/>
      <c r="AL9" s="118"/>
      <c r="AM9" s="118"/>
    </row>
    <row r="10" spans="2:39" ht="90">
      <c r="B10" s="202"/>
      <c r="C10" s="194"/>
      <c r="D10" s="194"/>
      <c r="E10" s="194"/>
      <c r="F10" s="126" t="s">
        <v>120</v>
      </c>
      <c r="G10" s="123" t="s">
        <v>149</v>
      </c>
      <c r="H10" s="125" t="s">
        <v>318</v>
      </c>
      <c r="I10" s="124" t="s">
        <v>319</v>
      </c>
      <c r="J10" s="123" t="s">
        <v>7</v>
      </c>
      <c r="K10" s="36">
        <v>1</v>
      </c>
      <c r="L10" s="129">
        <v>300000000</v>
      </c>
      <c r="M10" s="146"/>
      <c r="N10" s="146"/>
      <c r="O10" s="146"/>
      <c r="P10" s="146">
        <f t="shared" si="3"/>
        <v>300000000</v>
      </c>
      <c r="Q10" s="129"/>
      <c r="R10" s="129">
        <v>300000000</v>
      </c>
      <c r="S10" s="129"/>
      <c r="T10" s="129"/>
      <c r="U10" s="129"/>
      <c r="V10" s="129"/>
      <c r="W10" s="129"/>
      <c r="X10" s="129"/>
      <c r="Y10" s="129"/>
      <c r="Z10" s="129"/>
      <c r="AA10" s="129"/>
      <c r="AB10" s="129"/>
      <c r="AC10" s="129"/>
      <c r="AD10" s="129"/>
      <c r="AE10" s="129"/>
      <c r="AF10" s="129"/>
      <c r="AG10" s="129"/>
      <c r="AH10" s="129"/>
      <c r="AI10" s="129"/>
      <c r="AJ10" s="147"/>
      <c r="AK10" s="147"/>
      <c r="AL10" s="118"/>
      <c r="AM10" s="118"/>
    </row>
    <row r="11" spans="2:39" ht="54">
      <c r="B11" s="202"/>
      <c r="C11" s="194"/>
      <c r="D11" s="194"/>
      <c r="E11" s="194" t="s">
        <v>274</v>
      </c>
      <c r="F11" s="126" t="s">
        <v>150</v>
      </c>
      <c r="G11" s="123" t="s">
        <v>151</v>
      </c>
      <c r="H11" s="125" t="s">
        <v>320</v>
      </c>
      <c r="I11" s="124" t="s">
        <v>321</v>
      </c>
      <c r="J11" s="123" t="s">
        <v>15</v>
      </c>
      <c r="K11" s="36">
        <v>1</v>
      </c>
      <c r="L11" s="129">
        <v>0</v>
      </c>
      <c r="M11" s="146" t="s">
        <v>557</v>
      </c>
      <c r="N11" s="146"/>
      <c r="O11" s="146"/>
      <c r="P11" s="146">
        <f t="shared" si="3"/>
        <v>0</v>
      </c>
      <c r="Q11" s="129"/>
      <c r="R11" s="129"/>
      <c r="S11" s="129"/>
      <c r="T11" s="129"/>
      <c r="U11" s="129"/>
      <c r="V11" s="129"/>
      <c r="W11" s="129"/>
      <c r="X11" s="129"/>
      <c r="Y11" s="129"/>
      <c r="Z11" s="129"/>
      <c r="AA11" s="129"/>
      <c r="AB11" s="129"/>
      <c r="AC11" s="129"/>
      <c r="AD11" s="129"/>
      <c r="AE11" s="129"/>
      <c r="AF11" s="129"/>
      <c r="AG11" s="129"/>
      <c r="AH11" s="129"/>
      <c r="AI11" s="129"/>
      <c r="AJ11" s="147"/>
      <c r="AK11" s="147"/>
      <c r="AL11" s="118"/>
      <c r="AM11" s="118"/>
    </row>
    <row r="12" spans="2:39" ht="148.5" customHeight="1">
      <c r="B12" s="202"/>
      <c r="C12" s="194"/>
      <c r="D12" s="194"/>
      <c r="E12" s="194"/>
      <c r="F12" s="126" t="s">
        <v>152</v>
      </c>
      <c r="G12" s="123" t="s">
        <v>275</v>
      </c>
      <c r="H12" s="125" t="s">
        <v>322</v>
      </c>
      <c r="I12" s="125" t="s">
        <v>323</v>
      </c>
      <c r="J12" s="36" t="s">
        <v>153</v>
      </c>
      <c r="K12" s="36">
        <v>1</v>
      </c>
      <c r="L12" s="129">
        <v>240000000</v>
      </c>
      <c r="M12" s="146" t="s">
        <v>625</v>
      </c>
      <c r="N12" s="146"/>
      <c r="O12" s="146"/>
      <c r="P12" s="146">
        <f t="shared" si="3"/>
        <v>240000000</v>
      </c>
      <c r="Q12" s="129"/>
      <c r="R12" s="129"/>
      <c r="S12" s="129"/>
      <c r="T12" s="129">
        <v>240000000</v>
      </c>
      <c r="U12" s="129"/>
      <c r="V12" s="129"/>
      <c r="W12" s="129"/>
      <c r="X12" s="129"/>
      <c r="Y12" s="129"/>
      <c r="Z12" s="129"/>
      <c r="AA12" s="129"/>
      <c r="AB12" s="129"/>
      <c r="AC12" s="129"/>
      <c r="AD12" s="129"/>
      <c r="AE12" s="129"/>
      <c r="AF12" s="129"/>
      <c r="AG12" s="129"/>
      <c r="AH12" s="129"/>
      <c r="AI12" s="129"/>
      <c r="AJ12" s="147"/>
      <c r="AK12" s="147"/>
      <c r="AL12" s="118"/>
      <c r="AM12" s="118"/>
    </row>
    <row r="13" spans="2:39" ht="203.1" customHeight="1">
      <c r="B13" s="202"/>
      <c r="C13" s="194"/>
      <c r="D13" s="194"/>
      <c r="E13" s="194"/>
      <c r="F13" s="126" t="s">
        <v>154</v>
      </c>
      <c r="G13" s="123" t="s">
        <v>155</v>
      </c>
      <c r="H13" s="125" t="s">
        <v>558</v>
      </c>
      <c r="I13" s="124" t="s">
        <v>325</v>
      </c>
      <c r="J13" s="36" t="s">
        <v>15</v>
      </c>
      <c r="K13" s="36">
        <v>1.7</v>
      </c>
      <c r="L13" s="129">
        <v>77500000</v>
      </c>
      <c r="M13" s="148" t="s">
        <v>626</v>
      </c>
      <c r="N13" s="146"/>
      <c r="O13" s="146"/>
      <c r="P13" s="146">
        <f t="shared" si="3"/>
        <v>77500000</v>
      </c>
      <c r="Q13" s="129"/>
      <c r="R13" s="129">
        <v>77500000</v>
      </c>
      <c r="S13" s="129"/>
      <c r="T13" s="129"/>
      <c r="U13" s="129"/>
      <c r="V13" s="129"/>
      <c r="W13" s="129"/>
      <c r="X13" s="129"/>
      <c r="Y13" s="129"/>
      <c r="Z13" s="129"/>
      <c r="AA13" s="129"/>
      <c r="AB13" s="129"/>
      <c r="AC13" s="129"/>
      <c r="AD13" s="129"/>
      <c r="AE13" s="129"/>
      <c r="AF13" s="129"/>
      <c r="AG13" s="129"/>
      <c r="AH13" s="129"/>
      <c r="AI13" s="129"/>
      <c r="AJ13" s="147"/>
      <c r="AK13" s="147"/>
      <c r="AL13" s="118"/>
      <c r="AM13" s="118"/>
    </row>
    <row r="14" spans="2:39" ht="72">
      <c r="B14" s="202"/>
      <c r="C14" s="194"/>
      <c r="D14" s="194"/>
      <c r="E14" s="194"/>
      <c r="F14" s="126" t="s">
        <v>156</v>
      </c>
      <c r="G14" s="123" t="s">
        <v>157</v>
      </c>
      <c r="H14" s="125" t="s">
        <v>326</v>
      </c>
      <c r="I14" s="124" t="s">
        <v>327</v>
      </c>
      <c r="J14" s="36" t="s">
        <v>15</v>
      </c>
      <c r="K14" s="36">
        <v>0.8</v>
      </c>
      <c r="L14" s="129">
        <v>100000000</v>
      </c>
      <c r="M14" s="146" t="s">
        <v>627</v>
      </c>
      <c r="N14" s="146"/>
      <c r="O14" s="146"/>
      <c r="P14" s="146">
        <f t="shared" si="3"/>
        <v>100000000</v>
      </c>
      <c r="Q14" s="129"/>
      <c r="R14" s="129">
        <v>100000000</v>
      </c>
      <c r="S14" s="129"/>
      <c r="T14" s="129"/>
      <c r="U14" s="129"/>
      <c r="V14" s="129"/>
      <c r="W14" s="129"/>
      <c r="X14" s="129"/>
      <c r="Y14" s="129"/>
      <c r="Z14" s="129"/>
      <c r="AA14" s="129"/>
      <c r="AB14" s="129"/>
      <c r="AC14" s="129"/>
      <c r="AD14" s="129"/>
      <c r="AE14" s="129"/>
      <c r="AF14" s="129"/>
      <c r="AG14" s="129"/>
      <c r="AH14" s="129"/>
      <c r="AI14" s="129"/>
      <c r="AJ14" s="147"/>
      <c r="AK14" s="147"/>
      <c r="AL14" s="118"/>
      <c r="AM14" s="118"/>
    </row>
    <row r="15" spans="2:39" ht="72">
      <c r="B15" s="202"/>
      <c r="C15" s="194"/>
      <c r="D15" s="194"/>
      <c r="E15" s="194"/>
      <c r="F15" s="126" t="s">
        <v>158</v>
      </c>
      <c r="G15" s="123" t="s">
        <v>159</v>
      </c>
      <c r="H15" s="125" t="s">
        <v>328</v>
      </c>
      <c r="I15" s="124" t="s">
        <v>329</v>
      </c>
      <c r="J15" s="36" t="s">
        <v>15</v>
      </c>
      <c r="K15" s="36">
        <v>0.5</v>
      </c>
      <c r="L15" s="129">
        <v>100000000</v>
      </c>
      <c r="M15" s="146" t="s">
        <v>602</v>
      </c>
      <c r="N15" s="146"/>
      <c r="O15" s="146"/>
      <c r="P15" s="146">
        <f t="shared" si="3"/>
        <v>100000000</v>
      </c>
      <c r="Q15" s="129"/>
      <c r="R15" s="129">
        <v>100000000</v>
      </c>
      <c r="S15" s="129"/>
      <c r="T15" s="129"/>
      <c r="U15" s="129"/>
      <c r="V15" s="129"/>
      <c r="W15" s="129"/>
      <c r="X15" s="129"/>
      <c r="Y15" s="129"/>
      <c r="Z15" s="129"/>
      <c r="AA15" s="129"/>
      <c r="AB15" s="129"/>
      <c r="AC15" s="129"/>
      <c r="AD15" s="129"/>
      <c r="AE15" s="129"/>
      <c r="AF15" s="129"/>
      <c r="AG15" s="129"/>
      <c r="AH15" s="129"/>
      <c r="AI15" s="129"/>
      <c r="AJ15" s="147"/>
      <c r="AK15" s="147"/>
      <c r="AL15" s="118"/>
      <c r="AM15" s="118"/>
    </row>
    <row r="16" spans="2:39" ht="198" customHeight="1">
      <c r="B16" s="202"/>
      <c r="C16" s="194"/>
      <c r="D16" s="194"/>
      <c r="E16" s="194"/>
      <c r="F16" s="198" t="s">
        <v>160</v>
      </c>
      <c r="G16" s="194" t="s">
        <v>161</v>
      </c>
      <c r="H16" s="125" t="s">
        <v>330</v>
      </c>
      <c r="I16" s="124" t="s">
        <v>135</v>
      </c>
      <c r="J16" s="36" t="s">
        <v>15</v>
      </c>
      <c r="K16" s="36">
        <v>0.2</v>
      </c>
      <c r="L16" s="129">
        <v>386779919.60000002</v>
      </c>
      <c r="M16" s="146" t="s">
        <v>559</v>
      </c>
      <c r="N16" s="146"/>
      <c r="O16" s="146"/>
      <c r="P16" s="146">
        <f t="shared" si="3"/>
        <v>386779919.60000002</v>
      </c>
      <c r="Q16" s="129"/>
      <c r="R16" s="129">
        <v>386779919.60000002</v>
      </c>
      <c r="S16" s="129"/>
      <c r="T16" s="129"/>
      <c r="U16" s="129"/>
      <c r="V16" s="129"/>
      <c r="W16" s="129"/>
      <c r="X16" s="129"/>
      <c r="Y16" s="129"/>
      <c r="Z16" s="129"/>
      <c r="AA16" s="129"/>
      <c r="AB16" s="129"/>
      <c r="AC16" s="129"/>
      <c r="AD16" s="129"/>
      <c r="AE16" s="129"/>
      <c r="AF16" s="129"/>
      <c r="AG16" s="129"/>
      <c r="AH16" s="129"/>
      <c r="AI16" s="129"/>
      <c r="AJ16" s="147"/>
      <c r="AK16" s="147"/>
      <c r="AL16" s="118"/>
      <c r="AM16" s="118"/>
    </row>
    <row r="17" spans="2:39" ht="54" customHeight="1">
      <c r="B17" s="202"/>
      <c r="C17" s="194"/>
      <c r="D17" s="194"/>
      <c r="E17" s="194"/>
      <c r="F17" s="198"/>
      <c r="G17" s="194"/>
      <c r="H17" s="125" t="s">
        <v>331</v>
      </c>
      <c r="I17" s="124" t="s">
        <v>136</v>
      </c>
      <c r="J17" s="36" t="s">
        <v>15</v>
      </c>
      <c r="K17" s="36">
        <v>0</v>
      </c>
      <c r="L17" s="129"/>
      <c r="M17" s="146"/>
      <c r="N17" s="146"/>
      <c r="O17" s="146"/>
      <c r="P17" s="146">
        <f t="shared" si="3"/>
        <v>0</v>
      </c>
      <c r="Q17" s="129"/>
      <c r="R17" s="129"/>
      <c r="S17" s="129"/>
      <c r="T17" s="129"/>
      <c r="U17" s="129"/>
      <c r="V17" s="129"/>
      <c r="W17" s="129"/>
      <c r="X17" s="129"/>
      <c r="Y17" s="129"/>
      <c r="Z17" s="129"/>
      <c r="AA17" s="129"/>
      <c r="AB17" s="129"/>
      <c r="AC17" s="129"/>
      <c r="AD17" s="129"/>
      <c r="AE17" s="129"/>
      <c r="AF17" s="129"/>
      <c r="AG17" s="129"/>
      <c r="AH17" s="129"/>
      <c r="AI17" s="129"/>
      <c r="AJ17" s="147"/>
      <c r="AK17" s="147"/>
      <c r="AL17" s="118"/>
      <c r="AM17" s="118"/>
    </row>
    <row r="18" spans="2:39" ht="54" customHeight="1">
      <c r="B18" s="202"/>
      <c r="C18" s="194"/>
      <c r="D18" s="194"/>
      <c r="E18" s="194"/>
      <c r="F18" s="126"/>
      <c r="G18" s="123"/>
      <c r="H18" s="125"/>
      <c r="I18" s="124"/>
      <c r="J18" s="36"/>
      <c r="K18" s="36"/>
      <c r="L18" s="129"/>
      <c r="M18" s="146"/>
      <c r="N18" s="146"/>
      <c r="O18" s="146"/>
      <c r="P18" s="146">
        <f t="shared" si="3"/>
        <v>0</v>
      </c>
      <c r="Q18" s="129"/>
      <c r="R18" s="129"/>
      <c r="S18" s="129"/>
      <c r="T18" s="129"/>
      <c r="U18" s="129"/>
      <c r="V18" s="129"/>
      <c r="W18" s="129"/>
      <c r="X18" s="129"/>
      <c r="Y18" s="129"/>
      <c r="Z18" s="129"/>
      <c r="AA18" s="129"/>
      <c r="AB18" s="129"/>
      <c r="AC18" s="129"/>
      <c r="AD18" s="129"/>
      <c r="AE18" s="129"/>
      <c r="AF18" s="129"/>
      <c r="AG18" s="129"/>
      <c r="AH18" s="129"/>
      <c r="AI18" s="129"/>
      <c r="AJ18" s="147"/>
      <c r="AK18" s="147"/>
      <c r="AL18" s="118"/>
      <c r="AM18" s="118"/>
    </row>
    <row r="19" spans="2:39" ht="72">
      <c r="B19" s="202"/>
      <c r="C19" s="194"/>
      <c r="D19" s="194"/>
      <c r="E19" s="194"/>
      <c r="F19" s="126" t="s">
        <v>162</v>
      </c>
      <c r="G19" s="123" t="s">
        <v>163</v>
      </c>
      <c r="H19" s="125" t="s">
        <v>332</v>
      </c>
      <c r="I19" s="124" t="s">
        <v>333</v>
      </c>
      <c r="J19" s="36" t="s">
        <v>15</v>
      </c>
      <c r="K19" s="36">
        <v>0.8</v>
      </c>
      <c r="L19" s="129">
        <v>900000000</v>
      </c>
      <c r="M19" s="146" t="s">
        <v>559</v>
      </c>
      <c r="N19" s="146"/>
      <c r="O19" s="146"/>
      <c r="P19" s="146">
        <f t="shared" si="3"/>
        <v>900000000</v>
      </c>
      <c r="Q19" s="129"/>
      <c r="R19" s="129">
        <v>569232686.73000002</v>
      </c>
      <c r="S19" s="129"/>
      <c r="T19" s="129">
        <v>330767313.26999998</v>
      </c>
      <c r="U19" s="129"/>
      <c r="V19" s="129"/>
      <c r="W19" s="129"/>
      <c r="X19" s="129"/>
      <c r="Y19" s="129"/>
      <c r="Z19" s="129"/>
      <c r="AA19" s="129"/>
      <c r="AB19" s="129"/>
      <c r="AC19" s="129"/>
      <c r="AD19" s="129"/>
      <c r="AE19" s="129"/>
      <c r="AF19" s="129"/>
      <c r="AG19" s="129"/>
      <c r="AH19" s="129"/>
      <c r="AI19" s="129"/>
      <c r="AJ19" s="147"/>
      <c r="AK19" s="147"/>
      <c r="AL19" s="118"/>
      <c r="AM19" s="118"/>
    </row>
    <row r="20" spans="2:39" ht="72">
      <c r="B20" s="202"/>
      <c r="C20" s="194"/>
      <c r="D20" s="194"/>
      <c r="E20" s="194"/>
      <c r="F20" s="126" t="s">
        <v>164</v>
      </c>
      <c r="G20" s="123" t="s">
        <v>165</v>
      </c>
      <c r="H20" s="125" t="s">
        <v>334</v>
      </c>
      <c r="I20" s="124" t="s">
        <v>335</v>
      </c>
      <c r="J20" s="123" t="s">
        <v>28</v>
      </c>
      <c r="K20" s="36">
        <v>0.8</v>
      </c>
      <c r="L20" s="129">
        <v>450000000</v>
      </c>
      <c r="M20" s="146"/>
      <c r="N20" s="146"/>
      <c r="O20" s="146"/>
      <c r="P20" s="146">
        <f t="shared" si="3"/>
        <v>450000000</v>
      </c>
      <c r="Q20" s="129"/>
      <c r="R20" s="129">
        <v>450000000</v>
      </c>
      <c r="S20" s="129"/>
      <c r="T20" s="129"/>
      <c r="U20" s="129"/>
      <c r="V20" s="129"/>
      <c r="W20" s="129"/>
      <c r="X20" s="129"/>
      <c r="Y20" s="129"/>
      <c r="Z20" s="129"/>
      <c r="AA20" s="129"/>
      <c r="AB20" s="129"/>
      <c r="AC20" s="129"/>
      <c r="AD20" s="129"/>
      <c r="AE20" s="129"/>
      <c r="AF20" s="129"/>
      <c r="AG20" s="129"/>
      <c r="AH20" s="129"/>
      <c r="AI20" s="129"/>
      <c r="AJ20" s="147"/>
      <c r="AK20" s="147"/>
      <c r="AL20" s="118"/>
      <c r="AM20" s="118"/>
    </row>
    <row r="21" spans="2:39" ht="72">
      <c r="B21" s="202"/>
      <c r="C21" s="194"/>
      <c r="D21" s="194"/>
      <c r="E21" s="194" t="s">
        <v>276</v>
      </c>
      <c r="F21" s="198" t="s">
        <v>104</v>
      </c>
      <c r="G21" s="194" t="s">
        <v>166</v>
      </c>
      <c r="H21" s="125" t="s">
        <v>336</v>
      </c>
      <c r="I21" s="124" t="s">
        <v>337</v>
      </c>
      <c r="J21" s="36" t="s">
        <v>15</v>
      </c>
      <c r="K21" s="36">
        <v>100</v>
      </c>
      <c r="L21" s="129">
        <v>390000000</v>
      </c>
      <c r="M21" s="146" t="s">
        <v>566</v>
      </c>
      <c r="N21" s="146"/>
      <c r="O21" s="146"/>
      <c r="P21" s="146">
        <f t="shared" si="3"/>
        <v>390000000</v>
      </c>
      <c r="Q21" s="129"/>
      <c r="R21" s="129">
        <v>330767313.26999998</v>
      </c>
      <c r="S21" s="129">
        <v>59232686.729999997</v>
      </c>
      <c r="T21" s="129"/>
      <c r="U21" s="129"/>
      <c r="V21" s="129"/>
      <c r="W21" s="129"/>
      <c r="X21" s="129"/>
      <c r="Y21" s="129"/>
      <c r="Z21" s="129"/>
      <c r="AA21" s="129"/>
      <c r="AB21" s="129">
        <v>0</v>
      </c>
      <c r="AC21" s="129"/>
      <c r="AD21" s="129"/>
      <c r="AE21" s="129"/>
      <c r="AF21" s="129"/>
      <c r="AG21" s="129"/>
      <c r="AH21" s="129"/>
      <c r="AI21" s="129"/>
      <c r="AJ21" s="147"/>
      <c r="AK21" s="147"/>
      <c r="AL21" s="118"/>
      <c r="AM21" s="118"/>
    </row>
    <row r="22" spans="2:39" ht="54">
      <c r="B22" s="202"/>
      <c r="C22" s="194"/>
      <c r="D22" s="194"/>
      <c r="E22" s="194"/>
      <c r="F22" s="198"/>
      <c r="G22" s="194"/>
      <c r="H22" s="125" t="s">
        <v>338</v>
      </c>
      <c r="I22" s="124" t="s">
        <v>339</v>
      </c>
      <c r="J22" s="36" t="s">
        <v>15</v>
      </c>
      <c r="K22" s="36">
        <v>3</v>
      </c>
      <c r="L22" s="129">
        <v>450000000</v>
      </c>
      <c r="M22" s="146" t="s">
        <v>567</v>
      </c>
      <c r="N22" s="146"/>
      <c r="O22" s="146"/>
      <c r="P22" s="146">
        <f t="shared" si="3"/>
        <v>450000000</v>
      </c>
      <c r="Q22" s="129">
        <v>450000000</v>
      </c>
      <c r="R22" s="129"/>
      <c r="S22" s="129"/>
      <c r="T22" s="129"/>
      <c r="U22" s="129"/>
      <c r="V22" s="129"/>
      <c r="W22" s="129"/>
      <c r="X22" s="129"/>
      <c r="Y22" s="129"/>
      <c r="Z22" s="129"/>
      <c r="AA22" s="129"/>
      <c r="AB22" s="129">
        <v>0</v>
      </c>
      <c r="AC22" s="129"/>
      <c r="AD22" s="129"/>
      <c r="AE22" s="129"/>
      <c r="AF22" s="129"/>
      <c r="AG22" s="129"/>
      <c r="AH22" s="129"/>
      <c r="AI22" s="129"/>
      <c r="AJ22" s="147"/>
      <c r="AK22" s="147"/>
      <c r="AL22" s="118"/>
      <c r="AM22" s="118"/>
    </row>
    <row r="23" spans="2:39" ht="72">
      <c r="B23" s="202"/>
      <c r="C23" s="194"/>
      <c r="D23" s="194"/>
      <c r="E23" s="194"/>
      <c r="F23" s="126" t="s">
        <v>167</v>
      </c>
      <c r="G23" s="123" t="s">
        <v>168</v>
      </c>
      <c r="H23" s="124" t="s">
        <v>340</v>
      </c>
      <c r="I23" s="124" t="s">
        <v>341</v>
      </c>
      <c r="J23" s="36" t="s">
        <v>15</v>
      </c>
      <c r="K23" s="36">
        <v>100</v>
      </c>
      <c r="L23" s="129">
        <v>5669232686.7299995</v>
      </c>
      <c r="M23" s="146" t="s">
        <v>619</v>
      </c>
      <c r="N23" s="146"/>
      <c r="O23" s="146"/>
      <c r="P23" s="146">
        <f t="shared" si="3"/>
        <v>5669232686.7299995</v>
      </c>
      <c r="Q23" s="129"/>
      <c r="R23" s="129"/>
      <c r="S23" s="129"/>
      <c r="T23" s="129">
        <v>2808007686.73</v>
      </c>
      <c r="U23" s="129">
        <v>1556057100</v>
      </c>
      <c r="V23" s="129">
        <v>633137400</v>
      </c>
      <c r="W23" s="129"/>
      <c r="X23" s="129"/>
      <c r="Y23" s="129">
        <v>186105500</v>
      </c>
      <c r="Z23" s="129">
        <v>400000000</v>
      </c>
      <c r="AA23" s="129"/>
      <c r="AB23" s="129">
        <v>85505000</v>
      </c>
      <c r="AC23" s="129">
        <v>420000</v>
      </c>
      <c r="AD23" s="129"/>
      <c r="AE23" s="129"/>
      <c r="AF23" s="129"/>
      <c r="AG23" s="129"/>
      <c r="AH23" s="129"/>
      <c r="AI23" s="129"/>
      <c r="AJ23" s="147"/>
      <c r="AK23" s="147"/>
      <c r="AL23" s="118"/>
      <c r="AM23" s="118"/>
    </row>
    <row r="24" spans="2:39" ht="30.75" customHeight="1">
      <c r="B24" s="149"/>
      <c r="C24" s="139"/>
      <c r="D24" s="139"/>
      <c r="E24" s="137"/>
      <c r="F24" s="136"/>
      <c r="G24" s="149"/>
      <c r="H24" s="141" t="s">
        <v>293</v>
      </c>
      <c r="I24" s="138"/>
      <c r="J24" s="139"/>
      <c r="K24" s="140"/>
      <c r="L24" s="150">
        <f>SUM(L8:L23)</f>
        <v>9223512606.3299999</v>
      </c>
      <c r="M24" s="150">
        <f t="shared" ref="M24:P24" si="4">SUM(M8:M23)</f>
        <v>0</v>
      </c>
      <c r="N24" s="150"/>
      <c r="O24" s="150"/>
      <c r="P24" s="150">
        <f t="shared" si="4"/>
        <v>9223512606.3299999</v>
      </c>
      <c r="Q24" s="151"/>
      <c r="R24" s="151"/>
      <c r="S24" s="151"/>
      <c r="T24" s="151"/>
      <c r="U24" s="151"/>
      <c r="V24" s="151"/>
      <c r="W24" s="151"/>
      <c r="X24" s="151"/>
      <c r="Y24" s="151"/>
      <c r="Z24" s="151"/>
      <c r="AA24" s="151"/>
      <c r="AB24" s="151"/>
      <c r="AC24" s="151"/>
      <c r="AD24" s="151"/>
      <c r="AE24" s="151"/>
      <c r="AF24" s="151"/>
      <c r="AG24" s="151"/>
      <c r="AH24" s="151"/>
      <c r="AI24" s="151"/>
      <c r="AJ24" s="152"/>
      <c r="AK24" s="152"/>
      <c r="AM24" s="118"/>
    </row>
    <row r="25" spans="2:39" s="180" customFormat="1" ht="33.75" customHeight="1">
      <c r="B25" s="154" t="s">
        <v>55</v>
      </c>
      <c r="C25" s="154" t="s">
        <v>3</v>
      </c>
      <c r="D25" s="154" t="s">
        <v>2</v>
      </c>
      <c r="E25" s="155" t="s">
        <v>1</v>
      </c>
      <c r="F25" s="156"/>
      <c r="G25" s="156"/>
      <c r="H25" s="154" t="s">
        <v>4</v>
      </c>
      <c r="I25" s="155" t="s">
        <v>30</v>
      </c>
      <c r="J25" s="154" t="s">
        <v>6</v>
      </c>
      <c r="K25" s="154">
        <v>2025</v>
      </c>
      <c r="L25" s="116"/>
      <c r="M25" s="153" t="s">
        <v>8</v>
      </c>
      <c r="N25" s="153" t="s">
        <v>611</v>
      </c>
      <c r="O25" s="153"/>
      <c r="P25" s="153" t="s">
        <v>600</v>
      </c>
      <c r="Q25" s="157" t="s">
        <v>579</v>
      </c>
      <c r="R25" s="157" t="s">
        <v>580</v>
      </c>
      <c r="S25" s="157" t="s">
        <v>581</v>
      </c>
      <c r="T25" s="157" t="s">
        <v>582</v>
      </c>
      <c r="U25" s="157" t="s">
        <v>583</v>
      </c>
      <c r="V25" s="157" t="s">
        <v>584</v>
      </c>
      <c r="W25" s="157" t="s">
        <v>585</v>
      </c>
      <c r="X25" s="157" t="s">
        <v>586</v>
      </c>
      <c r="Y25" s="157" t="s">
        <v>597</v>
      </c>
      <c r="Z25" s="157" t="s">
        <v>587</v>
      </c>
      <c r="AA25" s="157" t="s">
        <v>588</v>
      </c>
      <c r="AB25" s="157" t="s">
        <v>589</v>
      </c>
      <c r="AC25" s="157" t="s">
        <v>596</v>
      </c>
      <c r="AD25" s="157" t="s">
        <v>590</v>
      </c>
      <c r="AE25" s="157" t="s">
        <v>591</v>
      </c>
      <c r="AF25" s="157" t="s">
        <v>599</v>
      </c>
      <c r="AG25" s="157" t="s">
        <v>592</v>
      </c>
      <c r="AH25" s="157" t="s">
        <v>593</v>
      </c>
      <c r="AI25" s="157" t="s">
        <v>594</v>
      </c>
      <c r="AJ25" s="157" t="s">
        <v>595</v>
      </c>
      <c r="AK25" s="157" t="s">
        <v>598</v>
      </c>
      <c r="AL25" s="182"/>
      <c r="AM25" s="182"/>
    </row>
    <row r="26" spans="2:39" ht="90">
      <c r="B26" s="194" t="s">
        <v>204</v>
      </c>
      <c r="C26" s="194" t="s">
        <v>14</v>
      </c>
      <c r="D26" s="194" t="s">
        <v>13</v>
      </c>
      <c r="E26" s="199" t="s">
        <v>205</v>
      </c>
      <c r="F26" s="111" t="s">
        <v>172</v>
      </c>
      <c r="G26" s="123" t="s">
        <v>9</v>
      </c>
      <c r="H26" s="111" t="s">
        <v>342</v>
      </c>
      <c r="I26" s="112" t="s">
        <v>343</v>
      </c>
      <c r="J26" s="114" t="s">
        <v>28</v>
      </c>
      <c r="K26" s="36">
        <v>5</v>
      </c>
      <c r="L26" s="56">
        <v>150000000</v>
      </c>
      <c r="M26" s="146" t="s">
        <v>560</v>
      </c>
      <c r="N26" s="146"/>
      <c r="O26" s="146"/>
      <c r="P26" s="146">
        <f t="shared" si="3"/>
        <v>150000000</v>
      </c>
      <c r="Q26" s="129"/>
      <c r="R26" s="129">
        <v>150000000</v>
      </c>
      <c r="S26" s="129"/>
      <c r="T26" s="129"/>
      <c r="U26" s="129"/>
      <c r="V26" s="129"/>
      <c r="W26" s="129"/>
      <c r="X26" s="129"/>
      <c r="Y26" s="129"/>
      <c r="Z26" s="129"/>
      <c r="AA26" s="129"/>
      <c r="AB26" s="129"/>
      <c r="AC26" s="129"/>
      <c r="AD26" s="129"/>
      <c r="AE26" s="129"/>
      <c r="AF26" s="129"/>
      <c r="AG26" s="129"/>
      <c r="AH26" s="129"/>
      <c r="AI26" s="129"/>
      <c r="AJ26" s="147"/>
      <c r="AK26" s="147"/>
      <c r="AL26" s="118"/>
      <c r="AM26" s="118"/>
    </row>
    <row r="27" spans="2:39" ht="90" customHeight="1">
      <c r="B27" s="194"/>
      <c r="C27" s="194"/>
      <c r="D27" s="194"/>
      <c r="E27" s="199"/>
      <c r="F27" s="195" t="s">
        <v>173</v>
      </c>
      <c r="G27" s="194" t="s">
        <v>174</v>
      </c>
      <c r="H27" s="111" t="s">
        <v>344</v>
      </c>
      <c r="I27" s="112" t="s">
        <v>345</v>
      </c>
      <c r="J27" s="114" t="s">
        <v>137</v>
      </c>
      <c r="K27" s="73">
        <v>1</v>
      </c>
      <c r="L27" s="56">
        <v>100000000</v>
      </c>
      <c r="M27" s="146" t="s">
        <v>568</v>
      </c>
      <c r="N27" s="146"/>
      <c r="O27" s="146"/>
      <c r="P27" s="146">
        <f t="shared" si="3"/>
        <v>100000000</v>
      </c>
      <c r="Q27" s="129">
        <v>50000000</v>
      </c>
      <c r="R27" s="129">
        <v>50000000</v>
      </c>
      <c r="S27" s="129"/>
      <c r="T27" s="129"/>
      <c r="U27" s="129"/>
      <c r="V27" s="129"/>
      <c r="W27" s="129"/>
      <c r="X27" s="129"/>
      <c r="Y27" s="129"/>
      <c r="Z27" s="129"/>
      <c r="AA27" s="129"/>
      <c r="AB27" s="129"/>
      <c r="AC27" s="129"/>
      <c r="AD27" s="129"/>
      <c r="AE27" s="129"/>
      <c r="AF27" s="129"/>
      <c r="AG27" s="129"/>
      <c r="AH27" s="129"/>
      <c r="AI27" s="129"/>
      <c r="AJ27" s="147"/>
      <c r="AK27" s="147"/>
      <c r="AL27" s="118"/>
      <c r="AM27" s="118"/>
    </row>
    <row r="28" spans="2:39" ht="54" customHeight="1">
      <c r="B28" s="194"/>
      <c r="C28" s="194"/>
      <c r="D28" s="194"/>
      <c r="E28" s="199"/>
      <c r="F28" s="195"/>
      <c r="G28" s="194"/>
      <c r="H28" s="111" t="s">
        <v>346</v>
      </c>
      <c r="I28" s="112" t="s">
        <v>347</v>
      </c>
      <c r="J28" s="36" t="s">
        <v>15</v>
      </c>
      <c r="K28" s="37">
        <v>200</v>
      </c>
      <c r="L28" s="56">
        <v>650000000</v>
      </c>
      <c r="M28" s="146" t="s">
        <v>605</v>
      </c>
      <c r="N28" s="146"/>
      <c r="O28" s="146"/>
      <c r="P28" s="146">
        <f t="shared" si="3"/>
        <v>650000000</v>
      </c>
      <c r="Q28" s="129"/>
      <c r="R28" s="129">
        <v>650000000</v>
      </c>
      <c r="S28" s="129"/>
      <c r="T28" s="129"/>
      <c r="U28" s="129"/>
      <c r="V28" s="129"/>
      <c r="W28" s="129"/>
      <c r="X28" s="129"/>
      <c r="Y28" s="129"/>
      <c r="Z28" s="129"/>
      <c r="AA28" s="129"/>
      <c r="AB28" s="129"/>
      <c r="AC28" s="129"/>
      <c r="AD28" s="129"/>
      <c r="AE28" s="129"/>
      <c r="AF28" s="129"/>
      <c r="AG28" s="129"/>
      <c r="AH28" s="129"/>
      <c r="AI28" s="129"/>
      <c r="AJ28" s="147"/>
      <c r="AK28" s="147"/>
      <c r="AL28" s="118"/>
      <c r="AM28" s="118"/>
    </row>
    <row r="29" spans="2:39" ht="68.099999999999994" customHeight="1">
      <c r="B29" s="194"/>
      <c r="C29" s="194"/>
      <c r="D29" s="194"/>
      <c r="E29" s="199"/>
      <c r="F29" s="195" t="s">
        <v>175</v>
      </c>
      <c r="G29" s="194" t="s">
        <v>176</v>
      </c>
      <c r="H29" s="111" t="s">
        <v>348</v>
      </c>
      <c r="I29" s="112" t="s">
        <v>116</v>
      </c>
      <c r="J29" s="114" t="s">
        <v>118</v>
      </c>
      <c r="K29" s="73">
        <v>1</v>
      </c>
      <c r="L29" s="56">
        <v>100000000</v>
      </c>
      <c r="M29" s="146" t="s">
        <v>561</v>
      </c>
      <c r="N29" s="146"/>
      <c r="O29" s="146"/>
      <c r="P29" s="146">
        <f>SUM(Q29:AK29)</f>
        <v>100000000</v>
      </c>
      <c r="Q29" s="129">
        <v>100000000</v>
      </c>
      <c r="R29" s="36"/>
      <c r="S29" s="129"/>
      <c r="T29" s="129"/>
      <c r="U29" s="129"/>
      <c r="V29" s="129"/>
      <c r="W29" s="129"/>
      <c r="X29" s="129"/>
      <c r="Y29" s="129"/>
      <c r="Z29" s="129"/>
      <c r="AA29" s="129"/>
      <c r="AB29" s="129"/>
      <c r="AC29" s="129"/>
      <c r="AD29" s="129"/>
      <c r="AE29" s="129"/>
      <c r="AF29" s="129"/>
      <c r="AG29" s="129"/>
      <c r="AH29" s="129"/>
      <c r="AI29" s="129"/>
      <c r="AJ29" s="147"/>
      <c r="AK29" s="147"/>
      <c r="AL29" s="118"/>
      <c r="AM29" s="118"/>
    </row>
    <row r="30" spans="2:39" ht="54">
      <c r="B30" s="194"/>
      <c r="C30" s="194"/>
      <c r="D30" s="194"/>
      <c r="E30" s="199"/>
      <c r="F30" s="195"/>
      <c r="G30" s="194"/>
      <c r="H30" s="111" t="s">
        <v>349</v>
      </c>
      <c r="I30" s="112" t="s">
        <v>350</v>
      </c>
      <c r="J30" s="36" t="s">
        <v>15</v>
      </c>
      <c r="K30" s="36">
        <v>1</v>
      </c>
      <c r="L30" s="56">
        <v>100000000</v>
      </c>
      <c r="M30" s="146" t="s">
        <v>561</v>
      </c>
      <c r="N30" s="146"/>
      <c r="O30" s="146"/>
      <c r="P30" s="146">
        <f t="shared" si="3"/>
        <v>100000000</v>
      </c>
      <c r="Q30" s="129"/>
      <c r="R30" s="129">
        <v>100000000</v>
      </c>
      <c r="S30" s="129"/>
      <c r="T30" s="129"/>
      <c r="U30" s="129"/>
      <c r="V30" s="129"/>
      <c r="W30" s="129"/>
      <c r="X30" s="129"/>
      <c r="Y30" s="129"/>
      <c r="Z30" s="129"/>
      <c r="AA30" s="129"/>
      <c r="AB30" s="129"/>
      <c r="AC30" s="129"/>
      <c r="AD30" s="129"/>
      <c r="AE30" s="129"/>
      <c r="AF30" s="129"/>
      <c r="AG30" s="129"/>
      <c r="AH30" s="129"/>
      <c r="AI30" s="129"/>
      <c r="AJ30" s="147"/>
      <c r="AK30" s="147"/>
      <c r="AL30" s="118"/>
      <c r="AM30" s="118"/>
    </row>
    <row r="31" spans="2:39" ht="72">
      <c r="B31" s="194"/>
      <c r="C31" s="194"/>
      <c r="D31" s="194"/>
      <c r="E31" s="199"/>
      <c r="F31" s="111" t="s">
        <v>177</v>
      </c>
      <c r="G31" s="123" t="s">
        <v>178</v>
      </c>
      <c r="H31" s="111" t="s">
        <v>447</v>
      </c>
      <c r="I31" s="112" t="s">
        <v>351</v>
      </c>
      <c r="J31" s="114" t="s">
        <v>29</v>
      </c>
      <c r="K31" s="36">
        <v>12</v>
      </c>
      <c r="L31" s="56">
        <v>100000000</v>
      </c>
      <c r="M31" s="146" t="s">
        <v>561</v>
      </c>
      <c r="N31" s="146"/>
      <c r="O31" s="146"/>
      <c r="P31" s="146">
        <f t="shared" si="3"/>
        <v>100000000</v>
      </c>
      <c r="Q31" s="129"/>
      <c r="R31" s="129">
        <v>100000000</v>
      </c>
      <c r="S31" s="129"/>
      <c r="T31" s="129"/>
      <c r="U31" s="129"/>
      <c r="V31" s="129"/>
      <c r="W31" s="129"/>
      <c r="X31" s="129"/>
      <c r="Y31" s="129"/>
      <c r="Z31" s="129"/>
      <c r="AA31" s="129"/>
      <c r="AB31" s="129"/>
      <c r="AC31" s="129"/>
      <c r="AD31" s="129"/>
      <c r="AE31" s="129"/>
      <c r="AF31" s="129"/>
      <c r="AG31" s="129"/>
      <c r="AH31" s="129"/>
      <c r="AI31" s="129"/>
      <c r="AJ31" s="147"/>
      <c r="AK31" s="147"/>
      <c r="AL31" s="118"/>
      <c r="AM31" s="118"/>
    </row>
    <row r="32" spans="2:39" ht="86.25" customHeight="1">
      <c r="B32" s="194"/>
      <c r="C32" s="194"/>
      <c r="D32" s="194"/>
      <c r="E32" s="199"/>
      <c r="F32" s="195" t="s">
        <v>179</v>
      </c>
      <c r="G32" s="194" t="s">
        <v>10</v>
      </c>
      <c r="H32" s="111" t="s">
        <v>352</v>
      </c>
      <c r="I32" s="112" t="s">
        <v>353</v>
      </c>
      <c r="J32" s="36" t="s">
        <v>15</v>
      </c>
      <c r="K32" s="36">
        <v>1</v>
      </c>
      <c r="L32" s="56">
        <v>100000000</v>
      </c>
      <c r="M32" s="146"/>
      <c r="N32" s="146"/>
      <c r="O32" s="146"/>
      <c r="P32" s="146">
        <f t="shared" si="3"/>
        <v>100000000</v>
      </c>
      <c r="Q32" s="129">
        <v>100000000</v>
      </c>
      <c r="R32" s="129"/>
      <c r="S32" s="129"/>
      <c r="T32" s="129"/>
      <c r="U32" s="129"/>
      <c r="V32" s="129"/>
      <c r="W32" s="129"/>
      <c r="X32" s="129"/>
      <c r="Y32" s="129"/>
      <c r="Z32" s="129"/>
      <c r="AA32" s="129"/>
      <c r="AB32" s="129"/>
      <c r="AC32" s="129"/>
      <c r="AD32" s="129"/>
      <c r="AE32" s="129"/>
      <c r="AF32" s="129"/>
      <c r="AG32" s="129"/>
      <c r="AH32" s="129"/>
      <c r="AI32" s="129"/>
      <c r="AJ32" s="147"/>
      <c r="AK32" s="147"/>
      <c r="AL32" s="118"/>
      <c r="AM32" s="118"/>
    </row>
    <row r="33" spans="2:39" ht="90" customHeight="1">
      <c r="B33" s="194"/>
      <c r="C33" s="194"/>
      <c r="D33" s="194"/>
      <c r="E33" s="199"/>
      <c r="F33" s="195"/>
      <c r="G33" s="194"/>
      <c r="H33" s="111" t="s">
        <v>354</v>
      </c>
      <c r="I33" s="112" t="s">
        <v>355</v>
      </c>
      <c r="J33" s="36" t="s">
        <v>7</v>
      </c>
      <c r="K33" s="73">
        <v>1</v>
      </c>
      <c r="L33" s="56">
        <v>1064240301.26</v>
      </c>
      <c r="M33" s="146" t="s">
        <v>559</v>
      </c>
      <c r="N33" s="146"/>
      <c r="O33" s="146"/>
      <c r="P33" s="146">
        <f t="shared" si="3"/>
        <v>1064240301.26</v>
      </c>
      <c r="Q33" s="129">
        <v>1064240301.26</v>
      </c>
      <c r="R33" s="129"/>
      <c r="S33" s="129"/>
      <c r="T33" s="129"/>
      <c r="U33" s="129"/>
      <c r="V33" s="129"/>
      <c r="W33" s="129"/>
      <c r="X33" s="129"/>
      <c r="Y33" s="129"/>
      <c r="Z33" s="129"/>
      <c r="AA33" s="129"/>
      <c r="AB33" s="129"/>
      <c r="AC33" s="129"/>
      <c r="AD33" s="129"/>
      <c r="AE33" s="129"/>
      <c r="AF33" s="129"/>
      <c r="AG33" s="129"/>
      <c r="AH33" s="129"/>
      <c r="AI33" s="129"/>
      <c r="AJ33" s="147"/>
      <c r="AK33" s="147"/>
      <c r="AL33" s="118"/>
      <c r="AM33" s="118"/>
    </row>
    <row r="34" spans="2:39" ht="93" customHeight="1">
      <c r="B34" s="194"/>
      <c r="C34" s="194"/>
      <c r="D34" s="194"/>
      <c r="E34" s="199"/>
      <c r="F34" s="111" t="s">
        <v>180</v>
      </c>
      <c r="G34" s="123" t="s">
        <v>181</v>
      </c>
      <c r="H34" s="111" t="s">
        <v>356</v>
      </c>
      <c r="I34" s="112" t="s">
        <v>139</v>
      </c>
      <c r="J34" s="36" t="s">
        <v>15</v>
      </c>
      <c r="K34" s="36">
        <v>600</v>
      </c>
      <c r="L34" s="56">
        <v>400000000</v>
      </c>
      <c r="M34" s="146" t="s">
        <v>603</v>
      </c>
      <c r="N34" s="146"/>
      <c r="O34" s="146"/>
      <c r="P34" s="146">
        <f t="shared" si="3"/>
        <v>400000000</v>
      </c>
      <c r="Q34" s="129"/>
      <c r="R34" s="129">
        <v>400000000</v>
      </c>
      <c r="S34" s="129"/>
      <c r="T34" s="129"/>
      <c r="U34" s="129"/>
      <c r="V34" s="129"/>
      <c r="W34" s="129"/>
      <c r="X34" s="129"/>
      <c r="Y34" s="129"/>
      <c r="Z34" s="129"/>
      <c r="AA34" s="129"/>
      <c r="AB34" s="129"/>
      <c r="AC34" s="129"/>
      <c r="AD34" s="129"/>
      <c r="AE34" s="129"/>
      <c r="AF34" s="129"/>
      <c r="AG34" s="129"/>
      <c r="AH34" s="129"/>
      <c r="AI34" s="129"/>
      <c r="AJ34" s="147"/>
      <c r="AK34" s="147"/>
      <c r="AL34" s="118"/>
      <c r="AM34" s="118"/>
    </row>
    <row r="35" spans="2:39" ht="89.1" customHeight="1">
      <c r="B35" s="194"/>
      <c r="C35" s="194"/>
      <c r="D35" s="194"/>
      <c r="E35" s="199"/>
      <c r="F35" s="111" t="s">
        <v>182</v>
      </c>
      <c r="G35" s="123" t="s">
        <v>183</v>
      </c>
      <c r="H35" s="111" t="s">
        <v>357</v>
      </c>
      <c r="I35" s="112" t="s">
        <v>358</v>
      </c>
      <c r="J35" s="36" t="s">
        <v>15</v>
      </c>
      <c r="K35" s="36">
        <v>20</v>
      </c>
      <c r="L35" s="56">
        <v>0</v>
      </c>
      <c r="M35" s="146" t="s">
        <v>562</v>
      </c>
      <c r="N35" s="146"/>
      <c r="O35" s="146"/>
      <c r="P35" s="146">
        <f t="shared" si="3"/>
        <v>0</v>
      </c>
      <c r="Q35" s="129"/>
      <c r="R35" s="129"/>
      <c r="S35" s="129"/>
      <c r="T35" s="129"/>
      <c r="U35" s="129"/>
      <c r="V35" s="129"/>
      <c r="W35" s="129"/>
      <c r="X35" s="129"/>
      <c r="Y35" s="129"/>
      <c r="Z35" s="129"/>
      <c r="AA35" s="129"/>
      <c r="AB35" s="129"/>
      <c r="AC35" s="129"/>
      <c r="AD35" s="129"/>
      <c r="AE35" s="129"/>
      <c r="AF35" s="129"/>
      <c r="AG35" s="129"/>
      <c r="AH35" s="129"/>
      <c r="AI35" s="129"/>
      <c r="AJ35" s="147"/>
      <c r="AK35" s="147"/>
      <c r="AL35" s="118"/>
      <c r="AM35" s="118"/>
    </row>
    <row r="36" spans="2:39" ht="108">
      <c r="B36" s="194"/>
      <c r="C36" s="194"/>
      <c r="D36" s="194"/>
      <c r="E36" s="199"/>
      <c r="F36" s="111" t="s">
        <v>184</v>
      </c>
      <c r="G36" s="123" t="s">
        <v>185</v>
      </c>
      <c r="H36" s="111" t="s">
        <v>359</v>
      </c>
      <c r="I36" s="112" t="s">
        <v>360</v>
      </c>
      <c r="J36" s="36" t="s">
        <v>15</v>
      </c>
      <c r="K36" s="36">
        <v>1.5</v>
      </c>
      <c r="L36" s="56">
        <v>100000000</v>
      </c>
      <c r="M36" s="146" t="s">
        <v>561</v>
      </c>
      <c r="N36" s="146"/>
      <c r="O36" s="146"/>
      <c r="P36" s="146">
        <f t="shared" si="3"/>
        <v>100000000</v>
      </c>
      <c r="Q36" s="129"/>
      <c r="R36" s="129">
        <v>100000000</v>
      </c>
      <c r="S36" s="129"/>
      <c r="T36" s="129"/>
      <c r="U36" s="129"/>
      <c r="V36" s="129"/>
      <c r="W36" s="129"/>
      <c r="X36" s="129"/>
      <c r="Y36" s="129"/>
      <c r="Z36" s="129"/>
      <c r="AA36" s="129"/>
      <c r="AB36" s="129"/>
      <c r="AC36" s="129"/>
      <c r="AD36" s="129"/>
      <c r="AE36" s="129"/>
      <c r="AF36" s="129"/>
      <c r="AG36" s="129"/>
      <c r="AH36" s="129"/>
      <c r="AI36" s="129"/>
      <c r="AJ36" s="147"/>
      <c r="AK36" s="147"/>
      <c r="AL36" s="118"/>
      <c r="AM36" s="118"/>
    </row>
    <row r="37" spans="2:39" ht="126">
      <c r="B37" s="194"/>
      <c r="C37" s="194"/>
      <c r="D37" s="194"/>
      <c r="E37" s="199"/>
      <c r="F37" s="111" t="s">
        <v>186</v>
      </c>
      <c r="G37" s="123" t="s">
        <v>11</v>
      </c>
      <c r="H37" s="111" t="s">
        <v>361</v>
      </c>
      <c r="I37" s="112" t="s">
        <v>362</v>
      </c>
      <c r="J37" s="36" t="s">
        <v>15</v>
      </c>
      <c r="K37" s="36">
        <v>1.3</v>
      </c>
      <c r="L37" s="115">
        <v>608879738</v>
      </c>
      <c r="M37" s="146" t="s">
        <v>563</v>
      </c>
      <c r="N37" s="146"/>
      <c r="O37" s="146"/>
      <c r="P37" s="146">
        <f t="shared" si="3"/>
        <v>608879738</v>
      </c>
      <c r="Q37" s="129"/>
      <c r="R37" s="42">
        <v>608879738</v>
      </c>
      <c r="S37" s="129"/>
      <c r="T37" s="129"/>
      <c r="U37" s="129"/>
      <c r="V37" s="129"/>
      <c r="W37" s="129"/>
      <c r="X37" s="129"/>
      <c r="Y37" s="129"/>
      <c r="Z37" s="129"/>
      <c r="AA37" s="129"/>
      <c r="AB37" s="129"/>
      <c r="AC37" s="129"/>
      <c r="AD37" s="129"/>
      <c r="AE37" s="129"/>
      <c r="AF37" s="129"/>
      <c r="AG37" s="129"/>
      <c r="AH37" s="129"/>
      <c r="AI37" s="129"/>
      <c r="AJ37" s="147"/>
      <c r="AK37" s="147"/>
      <c r="AL37" s="118"/>
      <c r="AM37" s="118"/>
    </row>
    <row r="38" spans="2:39" ht="126">
      <c r="B38" s="194"/>
      <c r="C38" s="194"/>
      <c r="D38" s="194"/>
      <c r="E38" s="199"/>
      <c r="F38" s="111" t="s">
        <v>187</v>
      </c>
      <c r="G38" s="123" t="s">
        <v>188</v>
      </c>
      <c r="H38" s="111" t="s">
        <v>363</v>
      </c>
      <c r="I38" s="112" t="s">
        <v>364</v>
      </c>
      <c r="J38" s="36" t="s">
        <v>15</v>
      </c>
      <c r="K38" s="75">
        <v>1250</v>
      </c>
      <c r="L38" s="56">
        <v>400000000</v>
      </c>
      <c r="M38" s="146" t="s">
        <v>569</v>
      </c>
      <c r="N38" s="146">
        <v>983869392</v>
      </c>
      <c r="O38" s="146"/>
      <c r="P38" s="146">
        <f t="shared" si="3"/>
        <v>400000000</v>
      </c>
      <c r="Q38" s="129"/>
      <c r="R38" s="129">
        <v>200000000</v>
      </c>
      <c r="S38" s="129"/>
      <c r="T38" s="129"/>
      <c r="U38" s="129"/>
      <c r="V38" s="129"/>
      <c r="W38" s="129"/>
      <c r="X38" s="129">
        <v>200000000</v>
      </c>
      <c r="Y38" s="129"/>
      <c r="Z38" s="129"/>
      <c r="AA38" s="129"/>
      <c r="AB38" s="129"/>
      <c r="AC38" s="129"/>
      <c r="AD38" s="129"/>
      <c r="AE38" s="129"/>
      <c r="AF38" s="129"/>
      <c r="AG38" s="129"/>
      <c r="AH38" s="129"/>
      <c r="AI38" s="129"/>
      <c r="AJ38" s="147"/>
      <c r="AK38" s="147"/>
      <c r="AL38" s="118"/>
      <c r="AM38" s="118"/>
    </row>
    <row r="39" spans="2:39" ht="108" customHeight="1">
      <c r="B39" s="194"/>
      <c r="C39" s="194"/>
      <c r="D39" s="194"/>
      <c r="E39" s="199"/>
      <c r="F39" s="111" t="s">
        <v>189</v>
      </c>
      <c r="G39" s="123" t="s">
        <v>190</v>
      </c>
      <c r="H39" s="111" t="s">
        <v>365</v>
      </c>
      <c r="I39" s="112" t="s">
        <v>366</v>
      </c>
      <c r="J39" s="114" t="s">
        <v>28</v>
      </c>
      <c r="K39" s="36">
        <v>0.3</v>
      </c>
      <c r="L39" s="56">
        <v>70000000</v>
      </c>
      <c r="M39" s="146" t="s">
        <v>604</v>
      </c>
      <c r="N39" s="146"/>
      <c r="O39" s="146"/>
      <c r="P39" s="146">
        <f t="shared" si="3"/>
        <v>70000000</v>
      </c>
      <c r="Q39" s="129"/>
      <c r="R39" s="129">
        <v>70000000</v>
      </c>
      <c r="S39" s="129"/>
      <c r="T39" s="129"/>
      <c r="U39" s="129"/>
      <c r="V39" s="129"/>
      <c r="W39" s="129"/>
      <c r="X39" s="129"/>
      <c r="Y39" s="129"/>
      <c r="Z39" s="129"/>
      <c r="AA39" s="129"/>
      <c r="AB39" s="129"/>
      <c r="AC39" s="129"/>
      <c r="AD39" s="129"/>
      <c r="AE39" s="129"/>
      <c r="AF39" s="129"/>
      <c r="AG39" s="129"/>
      <c r="AH39" s="129"/>
      <c r="AI39" s="129"/>
      <c r="AJ39" s="147"/>
      <c r="AK39" s="147"/>
      <c r="AL39" s="118"/>
      <c r="AM39" s="118"/>
    </row>
    <row r="40" spans="2:39" ht="108" customHeight="1">
      <c r="B40" s="194"/>
      <c r="C40" s="194"/>
      <c r="D40" s="194"/>
      <c r="E40" s="199"/>
      <c r="F40" s="111" t="s">
        <v>191</v>
      </c>
      <c r="G40" s="123" t="s">
        <v>12</v>
      </c>
      <c r="H40" s="111" t="s">
        <v>367</v>
      </c>
      <c r="I40" s="112" t="s">
        <v>368</v>
      </c>
      <c r="J40" s="36" t="s">
        <v>15</v>
      </c>
      <c r="K40" s="75">
        <v>150000</v>
      </c>
      <c r="L40" s="56">
        <v>400000000</v>
      </c>
      <c r="M40" s="146" t="s">
        <v>570</v>
      </c>
      <c r="N40" s="146"/>
      <c r="O40" s="146"/>
      <c r="P40" s="146">
        <f t="shared" si="3"/>
        <v>400000000</v>
      </c>
      <c r="Q40" s="129"/>
      <c r="R40" s="129">
        <v>400000000</v>
      </c>
      <c r="S40" s="129"/>
      <c r="T40" s="129"/>
      <c r="U40" s="129"/>
      <c r="V40" s="129"/>
      <c r="W40" s="129"/>
      <c r="X40" s="129"/>
      <c r="Y40" s="129"/>
      <c r="Z40" s="129"/>
      <c r="AA40" s="129"/>
      <c r="AB40" s="129"/>
      <c r="AC40" s="129"/>
      <c r="AD40" s="129"/>
      <c r="AE40" s="129"/>
      <c r="AF40" s="129"/>
      <c r="AG40" s="129"/>
      <c r="AH40" s="129"/>
      <c r="AI40" s="129"/>
      <c r="AJ40" s="147"/>
      <c r="AK40" s="147"/>
      <c r="AL40" s="118"/>
      <c r="AM40" s="118"/>
    </row>
    <row r="41" spans="2:39" ht="108" customHeight="1">
      <c r="B41" s="194"/>
      <c r="C41" s="194"/>
      <c r="D41" s="194"/>
      <c r="E41" s="199"/>
      <c r="F41" s="198" t="s">
        <v>192</v>
      </c>
      <c r="G41" s="194" t="s">
        <v>193</v>
      </c>
      <c r="H41" s="111" t="s">
        <v>369</v>
      </c>
      <c r="I41" s="112" t="s">
        <v>370</v>
      </c>
      <c r="J41" s="36" t="s">
        <v>15</v>
      </c>
      <c r="K41" s="36">
        <v>750</v>
      </c>
      <c r="L41" s="56">
        <v>500000000</v>
      </c>
      <c r="M41" s="146" t="s">
        <v>612</v>
      </c>
      <c r="N41" s="146">
        <v>2881007544.98</v>
      </c>
      <c r="O41" s="146"/>
      <c r="P41" s="146">
        <f t="shared" si="3"/>
        <v>500000000</v>
      </c>
      <c r="Q41" s="129"/>
      <c r="R41" s="129">
        <v>173300000</v>
      </c>
      <c r="S41" s="129"/>
      <c r="T41" s="129"/>
      <c r="U41" s="129"/>
      <c r="V41" s="129"/>
      <c r="W41" s="129"/>
      <c r="X41" s="129"/>
      <c r="Y41" s="129"/>
      <c r="Z41" s="129"/>
      <c r="AA41" s="129"/>
      <c r="AB41" s="129"/>
      <c r="AC41" s="129"/>
      <c r="AD41" s="129"/>
      <c r="AE41" s="129"/>
      <c r="AF41" s="129"/>
      <c r="AG41" s="129"/>
      <c r="AH41" s="129"/>
      <c r="AI41" s="129">
        <v>326700000</v>
      </c>
      <c r="AJ41" s="147"/>
      <c r="AK41" s="147"/>
      <c r="AL41" s="118"/>
      <c r="AM41" s="118"/>
    </row>
    <row r="42" spans="2:39" ht="108" customHeight="1">
      <c r="B42" s="194"/>
      <c r="C42" s="194"/>
      <c r="D42" s="194"/>
      <c r="E42" s="199"/>
      <c r="F42" s="198"/>
      <c r="G42" s="194"/>
      <c r="H42" s="111" t="s">
        <v>371</v>
      </c>
      <c r="I42" s="112" t="s">
        <v>372</v>
      </c>
      <c r="J42" s="114" t="s">
        <v>28</v>
      </c>
      <c r="K42" s="36">
        <v>2</v>
      </c>
      <c r="L42" s="56">
        <v>50000000</v>
      </c>
      <c r="M42" s="146" t="s">
        <v>606</v>
      </c>
      <c r="N42" s="146"/>
      <c r="O42" s="146"/>
      <c r="P42" s="146">
        <f t="shared" si="3"/>
        <v>50000000</v>
      </c>
      <c r="Q42" s="129"/>
      <c r="R42" s="129">
        <v>50000000</v>
      </c>
      <c r="S42" s="129"/>
      <c r="T42" s="129"/>
      <c r="U42" s="129"/>
      <c r="V42" s="129"/>
      <c r="W42" s="129"/>
      <c r="X42" s="129"/>
      <c r="Y42" s="129"/>
      <c r="Z42" s="129"/>
      <c r="AA42" s="129"/>
      <c r="AB42" s="129"/>
      <c r="AC42" s="129"/>
      <c r="AD42" s="129"/>
      <c r="AE42" s="129"/>
      <c r="AF42" s="129"/>
      <c r="AG42" s="129"/>
      <c r="AH42" s="129"/>
      <c r="AI42" s="129"/>
      <c r="AJ42" s="147"/>
      <c r="AK42" s="147"/>
      <c r="AL42" s="118"/>
      <c r="AM42" s="118"/>
    </row>
    <row r="43" spans="2:39" ht="54">
      <c r="B43" s="194"/>
      <c r="C43" s="194"/>
      <c r="D43" s="194"/>
      <c r="E43" s="199"/>
      <c r="F43" s="113" t="s">
        <v>194</v>
      </c>
      <c r="G43" s="123" t="s">
        <v>195</v>
      </c>
      <c r="H43" s="111" t="s">
        <v>564</v>
      </c>
      <c r="I43" s="112" t="s">
        <v>374</v>
      </c>
      <c r="J43" s="36" t="s">
        <v>15</v>
      </c>
      <c r="K43" s="36" t="s">
        <v>26</v>
      </c>
      <c r="M43" s="146"/>
      <c r="N43" s="146"/>
      <c r="O43" s="146"/>
      <c r="P43" s="146">
        <f t="shared" si="3"/>
        <v>0</v>
      </c>
      <c r="Q43" s="129"/>
      <c r="R43" s="129"/>
      <c r="S43" s="129"/>
      <c r="T43" s="129"/>
      <c r="U43" s="129"/>
      <c r="V43" s="129"/>
      <c r="W43" s="129"/>
      <c r="X43" s="129"/>
      <c r="Y43" s="129"/>
      <c r="Z43" s="129"/>
      <c r="AA43" s="129"/>
      <c r="AB43" s="129"/>
      <c r="AC43" s="129"/>
      <c r="AD43" s="129"/>
      <c r="AE43" s="129"/>
      <c r="AF43" s="129"/>
      <c r="AG43" s="129"/>
      <c r="AH43" s="129"/>
      <c r="AI43" s="129"/>
      <c r="AJ43" s="147"/>
      <c r="AK43" s="147"/>
      <c r="AL43" s="118"/>
      <c r="AM43" s="118"/>
    </row>
    <row r="44" spans="2:39" ht="65.45" customHeight="1">
      <c r="B44" s="194"/>
      <c r="C44" s="194"/>
      <c r="D44" s="194"/>
      <c r="E44" s="199" t="s">
        <v>206</v>
      </c>
      <c r="F44" s="113" t="s">
        <v>196</v>
      </c>
      <c r="G44" s="123" t="s">
        <v>197</v>
      </c>
      <c r="H44" s="111" t="s">
        <v>573</v>
      </c>
      <c r="I44" s="112" t="s">
        <v>376</v>
      </c>
      <c r="J44" s="36" t="s">
        <v>15</v>
      </c>
      <c r="K44" s="36">
        <v>0.8</v>
      </c>
      <c r="L44" s="56">
        <v>0</v>
      </c>
      <c r="M44" s="146" t="s">
        <v>574</v>
      </c>
      <c r="N44" s="146"/>
      <c r="O44" s="146"/>
      <c r="P44" s="146">
        <f t="shared" si="3"/>
        <v>0</v>
      </c>
      <c r="Q44" s="129"/>
      <c r="R44" s="129"/>
      <c r="S44" s="129"/>
      <c r="T44" s="129"/>
      <c r="U44" s="129"/>
      <c r="V44" s="129"/>
      <c r="W44" s="129"/>
      <c r="X44" s="129"/>
      <c r="Y44" s="129"/>
      <c r="Z44" s="129"/>
      <c r="AA44" s="129"/>
      <c r="AB44" s="129"/>
      <c r="AC44" s="129"/>
      <c r="AD44" s="129"/>
      <c r="AE44" s="129"/>
      <c r="AF44" s="129"/>
      <c r="AG44" s="129"/>
      <c r="AH44" s="129"/>
      <c r="AI44" s="129"/>
      <c r="AJ44" s="147"/>
      <c r="AK44" s="147"/>
      <c r="AL44" s="118"/>
      <c r="AM44" s="118"/>
    </row>
    <row r="45" spans="2:39" ht="72">
      <c r="B45" s="194"/>
      <c r="C45" s="194"/>
      <c r="D45" s="194"/>
      <c r="E45" s="199"/>
      <c r="F45" s="113" t="s">
        <v>198</v>
      </c>
      <c r="G45" s="123" t="s">
        <v>199</v>
      </c>
      <c r="H45" s="111" t="s">
        <v>377</v>
      </c>
      <c r="I45" s="112" t="s">
        <v>378</v>
      </c>
      <c r="J45" s="114" t="s">
        <v>25</v>
      </c>
      <c r="K45" s="36">
        <v>1</v>
      </c>
      <c r="L45" s="56">
        <v>800000000</v>
      </c>
      <c r="M45" s="146"/>
      <c r="N45" s="146"/>
      <c r="O45" s="146"/>
      <c r="P45" s="146">
        <f t="shared" si="3"/>
        <v>800000000</v>
      </c>
      <c r="Q45" s="129">
        <v>800000000</v>
      </c>
      <c r="R45" s="129"/>
      <c r="S45" s="129"/>
      <c r="T45" s="129"/>
      <c r="U45" s="129"/>
      <c r="V45" s="129"/>
      <c r="W45" s="129"/>
      <c r="X45" s="129"/>
      <c r="Y45" s="129"/>
      <c r="Z45" s="129"/>
      <c r="AA45" s="129"/>
      <c r="AB45" s="129"/>
      <c r="AC45" s="129"/>
      <c r="AD45" s="129"/>
      <c r="AE45" s="129"/>
      <c r="AF45" s="129"/>
      <c r="AG45" s="129"/>
      <c r="AH45" s="129"/>
      <c r="AI45" s="129"/>
      <c r="AJ45" s="147"/>
      <c r="AK45" s="147"/>
      <c r="AL45" s="118"/>
      <c r="AM45" s="118"/>
    </row>
    <row r="46" spans="2:39" ht="72">
      <c r="B46" s="194"/>
      <c r="C46" s="194"/>
      <c r="D46" s="194"/>
      <c r="E46" s="199"/>
      <c r="F46" s="113" t="s">
        <v>200</v>
      </c>
      <c r="G46" s="123" t="s">
        <v>201</v>
      </c>
      <c r="H46" s="111" t="s">
        <v>379</v>
      </c>
      <c r="I46" s="112" t="s">
        <v>380</v>
      </c>
      <c r="J46" s="36" t="s">
        <v>15</v>
      </c>
      <c r="K46" s="36">
        <v>0.5</v>
      </c>
      <c r="L46" s="117">
        <v>200000000</v>
      </c>
      <c r="M46" s="146" t="s">
        <v>565</v>
      </c>
      <c r="N46" s="146"/>
      <c r="O46" s="146"/>
      <c r="P46" s="146">
        <f t="shared" si="3"/>
        <v>200000000</v>
      </c>
      <c r="Q46" s="129"/>
      <c r="R46" s="129">
        <v>200000000</v>
      </c>
      <c r="S46" s="129"/>
      <c r="T46" s="129"/>
      <c r="U46" s="129"/>
      <c r="V46" s="129"/>
      <c r="W46" s="129"/>
      <c r="X46" s="129"/>
      <c r="Y46" s="129"/>
      <c r="Z46" s="129"/>
      <c r="AA46" s="129"/>
      <c r="AB46" s="129"/>
      <c r="AC46" s="129"/>
      <c r="AD46" s="129"/>
      <c r="AE46" s="129"/>
      <c r="AF46" s="129"/>
      <c r="AG46" s="129"/>
      <c r="AH46" s="129"/>
      <c r="AI46" s="129"/>
      <c r="AJ46" s="147"/>
      <c r="AK46" s="147"/>
      <c r="AL46" s="118"/>
      <c r="AM46" s="118"/>
    </row>
    <row r="47" spans="2:39" ht="72">
      <c r="B47" s="197"/>
      <c r="C47" s="197"/>
      <c r="D47" s="197"/>
      <c r="E47" s="200"/>
      <c r="F47" s="163" t="s">
        <v>202</v>
      </c>
      <c r="G47" s="164" t="s">
        <v>203</v>
      </c>
      <c r="H47" s="127" t="s">
        <v>381</v>
      </c>
      <c r="I47" s="165" t="s">
        <v>382</v>
      </c>
      <c r="J47" s="166" t="s">
        <v>15</v>
      </c>
      <c r="K47" s="166">
        <v>1</v>
      </c>
      <c r="L47" s="117">
        <v>200000000</v>
      </c>
      <c r="M47" s="167" t="s">
        <v>565</v>
      </c>
      <c r="N47" s="167"/>
      <c r="O47" s="167"/>
      <c r="P47" s="167">
        <f t="shared" si="3"/>
        <v>200000000</v>
      </c>
      <c r="Q47" s="128"/>
      <c r="R47" s="128">
        <v>200000000</v>
      </c>
      <c r="S47" s="128"/>
      <c r="T47" s="128"/>
      <c r="U47" s="128"/>
      <c r="V47" s="128"/>
      <c r="W47" s="128"/>
      <c r="X47" s="128"/>
      <c r="Y47" s="128"/>
      <c r="Z47" s="128"/>
      <c r="AA47" s="128"/>
      <c r="AB47" s="128"/>
      <c r="AC47" s="128"/>
      <c r="AD47" s="128"/>
      <c r="AE47" s="128"/>
      <c r="AF47" s="128"/>
      <c r="AG47" s="128"/>
      <c r="AH47" s="128"/>
      <c r="AI47" s="128"/>
      <c r="AJ47" s="168"/>
      <c r="AK47" s="168"/>
      <c r="AL47" s="118"/>
      <c r="AM47" s="118"/>
    </row>
    <row r="48" spans="2:39" ht="37.5" customHeight="1">
      <c r="B48" s="158"/>
      <c r="C48" s="158"/>
      <c r="D48" s="158"/>
      <c r="E48" s="135"/>
      <c r="F48" s="159"/>
      <c r="G48" s="160"/>
      <c r="H48" s="161" t="s">
        <v>294</v>
      </c>
      <c r="I48" s="162"/>
      <c r="J48" s="160"/>
      <c r="K48" s="160"/>
      <c r="L48" s="170"/>
      <c r="M48" s="171"/>
      <c r="N48" s="171"/>
      <c r="O48" s="171"/>
      <c r="P48" s="150">
        <f>SUM(P26:P47)</f>
        <v>6093120039.2600002</v>
      </c>
      <c r="Q48" s="170"/>
      <c r="R48" s="170"/>
      <c r="S48" s="170"/>
      <c r="T48" s="170"/>
      <c r="U48" s="170"/>
      <c r="V48" s="170"/>
      <c r="W48" s="170"/>
      <c r="X48" s="170"/>
      <c r="Y48" s="170"/>
      <c r="Z48" s="170"/>
      <c r="AA48" s="170"/>
      <c r="AB48" s="170"/>
      <c r="AC48" s="170"/>
      <c r="AD48" s="170"/>
      <c r="AE48" s="170"/>
      <c r="AF48" s="170"/>
      <c r="AG48" s="170"/>
      <c r="AH48" s="170"/>
      <c r="AI48" s="170"/>
      <c r="AJ48" s="172"/>
      <c r="AK48" s="172"/>
      <c r="AL48" s="118"/>
      <c r="AM48" s="118"/>
    </row>
    <row r="49" spans="2:39" s="180" customFormat="1" ht="58.5" customHeight="1">
      <c r="B49" s="154" t="s">
        <v>55</v>
      </c>
      <c r="C49" s="154" t="s">
        <v>3</v>
      </c>
      <c r="D49" s="154" t="s">
        <v>2</v>
      </c>
      <c r="E49" s="173" t="s">
        <v>1</v>
      </c>
      <c r="F49" s="154"/>
      <c r="G49" s="154"/>
      <c r="H49" s="154" t="s">
        <v>4</v>
      </c>
      <c r="I49" s="155" t="s">
        <v>30</v>
      </c>
      <c r="J49" s="154" t="s">
        <v>6</v>
      </c>
      <c r="K49" s="154">
        <v>2025</v>
      </c>
      <c r="L49" s="116"/>
      <c r="M49" s="153" t="s">
        <v>8</v>
      </c>
      <c r="N49" s="153" t="s">
        <v>611</v>
      </c>
      <c r="O49" s="153"/>
      <c r="P49" s="153" t="s">
        <v>600</v>
      </c>
      <c r="Q49" s="157" t="s">
        <v>579</v>
      </c>
      <c r="R49" s="157" t="s">
        <v>580</v>
      </c>
      <c r="S49" s="157" t="s">
        <v>581</v>
      </c>
      <c r="T49" s="157" t="s">
        <v>582</v>
      </c>
      <c r="U49" s="157" t="s">
        <v>583</v>
      </c>
      <c r="V49" s="157" t="s">
        <v>584</v>
      </c>
      <c r="W49" s="157" t="s">
        <v>585</v>
      </c>
      <c r="X49" s="157" t="s">
        <v>586</v>
      </c>
      <c r="Y49" s="157" t="s">
        <v>597</v>
      </c>
      <c r="Z49" s="157" t="s">
        <v>587</v>
      </c>
      <c r="AA49" s="157" t="s">
        <v>588</v>
      </c>
      <c r="AB49" s="157" t="s">
        <v>589</v>
      </c>
      <c r="AC49" s="157" t="s">
        <v>596</v>
      </c>
      <c r="AD49" s="157" t="s">
        <v>590</v>
      </c>
      <c r="AE49" s="157" t="s">
        <v>591</v>
      </c>
      <c r="AF49" s="157" t="s">
        <v>599</v>
      </c>
      <c r="AG49" s="157" t="s">
        <v>592</v>
      </c>
      <c r="AH49" s="157" t="s">
        <v>593</v>
      </c>
      <c r="AI49" s="157" t="s">
        <v>594</v>
      </c>
      <c r="AJ49" s="157" t="s">
        <v>595</v>
      </c>
      <c r="AK49" s="157" t="s">
        <v>598</v>
      </c>
      <c r="AL49" s="182"/>
      <c r="AM49" s="182"/>
    </row>
    <row r="50" spans="2:39" ht="90" customHeight="1">
      <c r="B50" s="194" t="s">
        <v>204</v>
      </c>
      <c r="C50" s="194" t="s">
        <v>215</v>
      </c>
      <c r="D50" s="194" t="s">
        <v>216</v>
      </c>
      <c r="E50" s="194" t="s">
        <v>217</v>
      </c>
      <c r="F50" s="124" t="s">
        <v>207</v>
      </c>
      <c r="G50" s="123" t="s">
        <v>208</v>
      </c>
      <c r="H50" s="125" t="s">
        <v>383</v>
      </c>
      <c r="I50" s="125" t="s">
        <v>384</v>
      </c>
      <c r="J50" s="123" t="s">
        <v>15</v>
      </c>
      <c r="K50" s="37">
        <v>70</v>
      </c>
      <c r="L50" s="129">
        <v>200000000</v>
      </c>
      <c r="M50" s="146"/>
      <c r="N50" s="146"/>
      <c r="O50" s="146"/>
      <c r="P50" s="146">
        <f t="shared" si="3"/>
        <v>200000000</v>
      </c>
      <c r="Q50" s="129"/>
      <c r="R50" s="129">
        <v>200000000</v>
      </c>
      <c r="S50" s="129"/>
      <c r="T50" s="129"/>
      <c r="U50" s="129"/>
      <c r="V50" s="129"/>
      <c r="W50" s="129"/>
      <c r="X50" s="129"/>
      <c r="Y50" s="129"/>
      <c r="Z50" s="129"/>
      <c r="AA50" s="129"/>
      <c r="AB50" s="129"/>
      <c r="AC50" s="129"/>
      <c r="AD50" s="129"/>
      <c r="AE50" s="129"/>
      <c r="AF50" s="129"/>
      <c r="AG50" s="129"/>
      <c r="AH50" s="129"/>
      <c r="AI50" s="129"/>
      <c r="AJ50" s="147"/>
      <c r="AK50" s="147"/>
      <c r="AL50" s="118"/>
      <c r="AM50" s="118"/>
    </row>
    <row r="51" spans="2:39" ht="126">
      <c r="B51" s="194"/>
      <c r="C51" s="194"/>
      <c r="D51" s="194"/>
      <c r="E51" s="194"/>
      <c r="F51" s="124" t="s">
        <v>209</v>
      </c>
      <c r="G51" s="123" t="s">
        <v>210</v>
      </c>
      <c r="H51" s="125" t="s">
        <v>385</v>
      </c>
      <c r="I51" s="124" t="s">
        <v>386</v>
      </c>
      <c r="J51" s="36" t="s">
        <v>15</v>
      </c>
      <c r="K51" s="80" t="s">
        <v>297</v>
      </c>
      <c r="L51" s="129">
        <v>2000000000</v>
      </c>
      <c r="M51" s="146"/>
      <c r="N51" s="146"/>
      <c r="O51" s="146"/>
      <c r="P51" s="146">
        <f t="shared" si="3"/>
        <v>2000000000</v>
      </c>
      <c r="Q51" s="129"/>
      <c r="R51" s="129">
        <v>1789765000</v>
      </c>
      <c r="S51" s="129"/>
      <c r="T51" s="129"/>
      <c r="U51" s="129"/>
      <c r="V51" s="129"/>
      <c r="W51" s="129"/>
      <c r="X51" s="129">
        <v>210235000</v>
      </c>
      <c r="Y51" s="129"/>
      <c r="Z51" s="129"/>
      <c r="AA51" s="129"/>
      <c r="AB51" s="129"/>
      <c r="AC51" s="129"/>
      <c r="AD51" s="129"/>
      <c r="AE51" s="129"/>
      <c r="AF51" s="129"/>
      <c r="AG51" s="129"/>
      <c r="AH51" s="129"/>
      <c r="AI51" s="129"/>
      <c r="AJ51" s="147"/>
      <c r="AK51" s="147"/>
      <c r="AL51" s="118"/>
      <c r="AM51" s="118"/>
    </row>
    <row r="52" spans="2:39" ht="108">
      <c r="B52" s="194"/>
      <c r="C52" s="194"/>
      <c r="D52" s="194"/>
      <c r="E52" s="194"/>
      <c r="F52" s="196" t="s">
        <v>211</v>
      </c>
      <c r="G52" s="194" t="s">
        <v>212</v>
      </c>
      <c r="H52" s="125" t="s">
        <v>387</v>
      </c>
      <c r="I52" s="124" t="s">
        <v>388</v>
      </c>
      <c r="J52" s="36" t="s">
        <v>15</v>
      </c>
      <c r="K52" s="75">
        <v>2500</v>
      </c>
      <c r="L52" s="129">
        <v>200000000</v>
      </c>
      <c r="M52" s="146" t="s">
        <v>615</v>
      </c>
      <c r="N52" s="146">
        <v>1742163893</v>
      </c>
      <c r="O52" s="146"/>
      <c r="P52" s="146">
        <f t="shared" si="3"/>
        <v>200000000</v>
      </c>
      <c r="Q52" s="129"/>
      <c r="R52" s="129">
        <v>200000000</v>
      </c>
      <c r="S52" s="129"/>
      <c r="T52" s="129"/>
      <c r="U52" s="129"/>
      <c r="V52" s="129"/>
      <c r="W52" s="129"/>
      <c r="X52" s="129"/>
      <c r="Y52" s="129"/>
      <c r="Z52" s="129"/>
      <c r="AA52" s="129"/>
      <c r="AB52" s="129"/>
      <c r="AC52" s="129"/>
      <c r="AD52" s="129"/>
      <c r="AE52" s="129"/>
      <c r="AF52" s="129"/>
      <c r="AG52" s="129"/>
      <c r="AH52" s="129"/>
      <c r="AI52" s="129"/>
      <c r="AJ52" s="147"/>
      <c r="AK52" s="147"/>
      <c r="AL52" s="118"/>
      <c r="AM52" s="118"/>
    </row>
    <row r="53" spans="2:39" ht="90">
      <c r="B53" s="194"/>
      <c r="C53" s="194"/>
      <c r="D53" s="194"/>
      <c r="E53" s="194"/>
      <c r="F53" s="196"/>
      <c r="G53" s="194"/>
      <c r="H53" s="125" t="s">
        <v>389</v>
      </c>
      <c r="I53" s="124" t="s">
        <v>300</v>
      </c>
      <c r="J53" s="123" t="s">
        <v>28</v>
      </c>
      <c r="K53" s="123" t="s">
        <v>302</v>
      </c>
      <c r="L53" s="129">
        <v>200000000</v>
      </c>
      <c r="M53" s="146"/>
      <c r="N53" s="146"/>
      <c r="O53" s="146"/>
      <c r="P53" s="146">
        <f t="shared" si="3"/>
        <v>200000000</v>
      </c>
      <c r="Q53" s="129"/>
      <c r="R53" s="129">
        <v>200000000</v>
      </c>
      <c r="S53" s="129"/>
      <c r="T53" s="129"/>
      <c r="U53" s="129"/>
      <c r="V53" s="129"/>
      <c r="W53" s="129"/>
      <c r="X53" s="129"/>
      <c r="Y53" s="129"/>
      <c r="Z53" s="129"/>
      <c r="AA53" s="129"/>
      <c r="AB53" s="129"/>
      <c r="AC53" s="129"/>
      <c r="AD53" s="129"/>
      <c r="AE53" s="129"/>
      <c r="AF53" s="129"/>
      <c r="AG53" s="129"/>
      <c r="AH53" s="129"/>
      <c r="AI53" s="129"/>
      <c r="AJ53" s="147"/>
      <c r="AK53" s="147"/>
      <c r="AL53" s="118"/>
      <c r="AM53" s="118"/>
    </row>
    <row r="54" spans="2:39" ht="144" customHeight="1">
      <c r="B54" s="194"/>
      <c r="C54" s="194"/>
      <c r="D54" s="194"/>
      <c r="E54" s="194"/>
      <c r="F54" s="124" t="s">
        <v>213</v>
      </c>
      <c r="G54" s="123" t="s">
        <v>214</v>
      </c>
      <c r="H54" s="125" t="s">
        <v>390</v>
      </c>
      <c r="I54" s="124" t="s">
        <v>130</v>
      </c>
      <c r="J54" s="36" t="s">
        <v>15</v>
      </c>
      <c r="K54" s="80">
        <v>3000</v>
      </c>
      <c r="L54" s="129">
        <v>1000000000</v>
      </c>
      <c r="M54" s="146" t="s">
        <v>616</v>
      </c>
      <c r="N54" s="174">
        <f>2093493172</f>
        <v>2093493172</v>
      </c>
      <c r="O54" s="174"/>
      <c r="P54" s="146">
        <f t="shared" si="3"/>
        <v>1000000000</v>
      </c>
      <c r="Q54" s="129"/>
      <c r="R54" s="129">
        <v>1000000000</v>
      </c>
      <c r="S54" s="129"/>
      <c r="T54" s="129"/>
      <c r="U54" s="129"/>
      <c r="V54" s="129"/>
      <c r="W54" s="129"/>
      <c r="X54" s="129"/>
      <c r="Y54" s="129"/>
      <c r="Z54" s="129"/>
      <c r="AA54" s="129"/>
      <c r="AB54" s="129"/>
      <c r="AC54" s="129"/>
      <c r="AD54" s="129"/>
      <c r="AE54" s="129"/>
      <c r="AF54" s="129"/>
      <c r="AG54" s="129"/>
      <c r="AH54" s="129"/>
      <c r="AI54" s="129"/>
      <c r="AJ54" s="147"/>
      <c r="AK54" s="147"/>
      <c r="AL54" s="118"/>
      <c r="AM54" s="118"/>
    </row>
    <row r="55" spans="2:39" ht="30" customHeight="1">
      <c r="B55" s="149"/>
      <c r="C55" s="149"/>
      <c r="D55" s="149"/>
      <c r="E55" s="137"/>
      <c r="F55" s="176"/>
      <c r="G55" s="175"/>
      <c r="H55" s="177" t="s">
        <v>306</v>
      </c>
      <c r="I55" s="178"/>
      <c r="J55" s="175"/>
      <c r="K55" s="175"/>
      <c r="L55" s="150">
        <f>SUM(L50:L54)</f>
        <v>3600000000</v>
      </c>
      <c r="M55" s="150">
        <f t="shared" ref="M55:P55" si="5">SUM(M50:M54)</f>
        <v>0</v>
      </c>
      <c r="N55" s="150"/>
      <c r="O55" s="150"/>
      <c r="P55" s="150">
        <f t="shared" si="5"/>
        <v>3600000000</v>
      </c>
      <c r="Q55" s="150"/>
      <c r="R55" s="150"/>
      <c r="S55" s="150"/>
      <c r="T55" s="150"/>
      <c r="U55" s="150"/>
      <c r="V55" s="150"/>
      <c r="W55" s="150"/>
      <c r="X55" s="150"/>
      <c r="Y55" s="150"/>
      <c r="Z55" s="150"/>
      <c r="AA55" s="150"/>
      <c r="AB55" s="150"/>
      <c r="AC55" s="150"/>
      <c r="AD55" s="150"/>
      <c r="AE55" s="150"/>
      <c r="AF55" s="150"/>
      <c r="AG55" s="150"/>
      <c r="AH55" s="150"/>
      <c r="AI55" s="150"/>
      <c r="AJ55" s="152"/>
      <c r="AK55" s="152"/>
      <c r="AL55" s="118"/>
      <c r="AM55" s="118"/>
    </row>
    <row r="56" spans="2:39" s="180" customFormat="1" ht="50.25" customHeight="1">
      <c r="B56" s="154" t="s">
        <v>55</v>
      </c>
      <c r="C56" s="154" t="s">
        <v>3</v>
      </c>
      <c r="D56" s="154" t="s">
        <v>2</v>
      </c>
      <c r="E56" s="173" t="s">
        <v>1</v>
      </c>
      <c r="F56" s="154"/>
      <c r="G56" s="154"/>
      <c r="H56" s="154" t="s">
        <v>4</v>
      </c>
      <c r="I56" s="155" t="s">
        <v>30</v>
      </c>
      <c r="J56" s="154" t="s">
        <v>6</v>
      </c>
      <c r="K56" s="154">
        <v>2025</v>
      </c>
      <c r="L56" s="116"/>
      <c r="M56" s="153" t="s">
        <v>8</v>
      </c>
      <c r="N56" s="153" t="s">
        <v>611</v>
      </c>
      <c r="O56" s="153"/>
      <c r="P56" s="153" t="s">
        <v>600</v>
      </c>
      <c r="Q56" s="157" t="s">
        <v>579</v>
      </c>
      <c r="R56" s="157" t="s">
        <v>580</v>
      </c>
      <c r="S56" s="157" t="s">
        <v>581</v>
      </c>
      <c r="T56" s="157" t="s">
        <v>582</v>
      </c>
      <c r="U56" s="157" t="s">
        <v>583</v>
      </c>
      <c r="V56" s="157" t="s">
        <v>584</v>
      </c>
      <c r="W56" s="157" t="s">
        <v>585</v>
      </c>
      <c r="X56" s="157" t="s">
        <v>586</v>
      </c>
      <c r="Y56" s="157" t="s">
        <v>597</v>
      </c>
      <c r="Z56" s="157" t="s">
        <v>587</v>
      </c>
      <c r="AA56" s="157" t="s">
        <v>588</v>
      </c>
      <c r="AB56" s="157" t="s">
        <v>589</v>
      </c>
      <c r="AC56" s="157" t="s">
        <v>596</v>
      </c>
      <c r="AD56" s="157" t="s">
        <v>590</v>
      </c>
      <c r="AE56" s="157" t="s">
        <v>591</v>
      </c>
      <c r="AF56" s="157" t="s">
        <v>599</v>
      </c>
      <c r="AG56" s="157" t="s">
        <v>592</v>
      </c>
      <c r="AH56" s="157" t="s">
        <v>593</v>
      </c>
      <c r="AI56" s="157" t="s">
        <v>594</v>
      </c>
      <c r="AJ56" s="157" t="s">
        <v>595</v>
      </c>
      <c r="AK56" s="157" t="s">
        <v>598</v>
      </c>
      <c r="AL56" s="182"/>
      <c r="AM56" s="182"/>
    </row>
    <row r="57" spans="2:39" ht="126">
      <c r="B57" s="194" t="s">
        <v>204</v>
      </c>
      <c r="C57" s="194" t="s">
        <v>17</v>
      </c>
      <c r="D57" s="194" t="s">
        <v>101</v>
      </c>
      <c r="E57" s="123" t="s">
        <v>228</v>
      </c>
      <c r="F57" s="123" t="s">
        <v>218</v>
      </c>
      <c r="G57" s="123" t="s">
        <v>219</v>
      </c>
      <c r="H57" s="125" t="s">
        <v>391</v>
      </c>
      <c r="I57" s="124" t="s">
        <v>132</v>
      </c>
      <c r="J57" s="36" t="s">
        <v>15</v>
      </c>
      <c r="K57" s="36">
        <v>2000</v>
      </c>
      <c r="L57" s="129">
        <v>1200000000</v>
      </c>
      <c r="M57" s="146" t="s">
        <v>614</v>
      </c>
      <c r="N57" s="146">
        <v>928518092</v>
      </c>
      <c r="O57" s="146"/>
      <c r="P57" s="146">
        <f t="shared" si="3"/>
        <v>1200000000</v>
      </c>
      <c r="Q57" s="129"/>
      <c r="R57" s="129">
        <v>523223342.39999998</v>
      </c>
      <c r="S57" s="129">
        <v>345965257.60000002</v>
      </c>
      <c r="T57" s="129"/>
      <c r="U57" s="129"/>
      <c r="V57" s="129"/>
      <c r="W57" s="129">
        <v>89410300</v>
      </c>
      <c r="X57" s="129"/>
      <c r="Y57" s="129"/>
      <c r="Z57" s="129"/>
      <c r="AA57" s="129">
        <v>241401099.99999997</v>
      </c>
      <c r="AB57" s="129"/>
      <c r="AC57" s="129"/>
      <c r="AD57" s="129"/>
      <c r="AE57" s="129"/>
      <c r="AF57" s="129"/>
      <c r="AG57" s="129"/>
      <c r="AH57" s="129"/>
      <c r="AI57" s="129"/>
      <c r="AJ57" s="147"/>
      <c r="AK57" s="147"/>
      <c r="AL57" s="118"/>
      <c r="AM57" s="118"/>
    </row>
    <row r="58" spans="2:39" ht="76.5" customHeight="1">
      <c r="B58" s="194"/>
      <c r="C58" s="194"/>
      <c r="D58" s="194"/>
      <c r="E58" s="194" t="s">
        <v>229</v>
      </c>
      <c r="F58" s="194" t="s">
        <v>220</v>
      </c>
      <c r="G58" s="194" t="s">
        <v>221</v>
      </c>
      <c r="H58" s="125" t="s">
        <v>392</v>
      </c>
      <c r="I58" s="124" t="s">
        <v>33</v>
      </c>
      <c r="J58" s="36" t="s">
        <v>15</v>
      </c>
      <c r="K58" s="36">
        <v>33</v>
      </c>
      <c r="L58" s="129">
        <v>120000000</v>
      </c>
      <c r="M58" s="146"/>
      <c r="N58" s="146"/>
      <c r="O58" s="146"/>
      <c r="P58" s="146">
        <f t="shared" si="3"/>
        <v>120000000</v>
      </c>
      <c r="Q58" s="129">
        <v>120000000</v>
      </c>
      <c r="R58" s="129"/>
      <c r="S58" s="129"/>
      <c r="T58" s="129"/>
      <c r="U58" s="129"/>
      <c r="V58" s="129"/>
      <c r="W58" s="129"/>
      <c r="X58" s="129"/>
      <c r="Y58" s="129"/>
      <c r="Z58" s="129"/>
      <c r="AA58" s="129"/>
      <c r="AB58" s="129"/>
      <c r="AC58" s="129"/>
      <c r="AD58" s="129"/>
      <c r="AE58" s="129"/>
      <c r="AF58" s="129"/>
      <c r="AG58" s="129"/>
      <c r="AH58" s="129"/>
      <c r="AI58" s="129"/>
      <c r="AJ58" s="147"/>
      <c r="AK58" s="147"/>
      <c r="AL58" s="118"/>
      <c r="AM58" s="118"/>
    </row>
    <row r="59" spans="2:39" ht="72">
      <c r="B59" s="194"/>
      <c r="C59" s="194"/>
      <c r="D59" s="194"/>
      <c r="E59" s="194"/>
      <c r="F59" s="194"/>
      <c r="G59" s="194"/>
      <c r="H59" s="125" t="s">
        <v>393</v>
      </c>
      <c r="I59" s="124" t="s">
        <v>394</v>
      </c>
      <c r="J59" s="36" t="s">
        <v>15</v>
      </c>
      <c r="K59" s="73">
        <v>0.3</v>
      </c>
      <c r="L59" s="129">
        <v>120000000</v>
      </c>
      <c r="M59" s="146"/>
      <c r="N59" s="146"/>
      <c r="O59" s="146"/>
      <c r="P59" s="146">
        <f t="shared" si="3"/>
        <v>120000000</v>
      </c>
      <c r="Q59" s="129">
        <v>120000000</v>
      </c>
      <c r="R59" s="129"/>
      <c r="S59" s="129"/>
      <c r="T59" s="129"/>
      <c r="U59" s="129"/>
      <c r="V59" s="129"/>
      <c r="W59" s="129"/>
      <c r="X59" s="129"/>
      <c r="Y59" s="129"/>
      <c r="Z59" s="129"/>
      <c r="AA59" s="129"/>
      <c r="AB59" s="129"/>
      <c r="AC59" s="129"/>
      <c r="AD59" s="129"/>
      <c r="AE59" s="129"/>
      <c r="AF59" s="129"/>
      <c r="AG59" s="129"/>
      <c r="AH59" s="129"/>
      <c r="AI59" s="129"/>
      <c r="AJ59" s="147"/>
      <c r="AK59" s="147"/>
      <c r="AL59" s="118"/>
      <c r="AM59" s="118"/>
    </row>
    <row r="60" spans="2:39" ht="72">
      <c r="B60" s="194"/>
      <c r="C60" s="194"/>
      <c r="D60" s="194"/>
      <c r="E60" s="194"/>
      <c r="F60" s="194"/>
      <c r="G60" s="194"/>
      <c r="H60" s="125" t="s">
        <v>395</v>
      </c>
      <c r="I60" s="124" t="s">
        <v>396</v>
      </c>
      <c r="J60" s="36" t="s">
        <v>7</v>
      </c>
      <c r="K60" s="73">
        <v>0.5</v>
      </c>
      <c r="L60" s="129">
        <v>200000000</v>
      </c>
      <c r="M60" s="146" t="s">
        <v>613</v>
      </c>
      <c r="N60" s="146">
        <f>484329997+229599116</f>
        <v>713929113</v>
      </c>
      <c r="O60" s="146"/>
      <c r="P60" s="146">
        <f t="shared" si="3"/>
        <v>200000000</v>
      </c>
      <c r="Q60" s="129">
        <v>50000000</v>
      </c>
      <c r="R60" s="129">
        <v>150000000</v>
      </c>
      <c r="S60" s="129"/>
      <c r="T60" s="129"/>
      <c r="U60" s="129"/>
      <c r="V60" s="129"/>
      <c r="W60" s="129"/>
      <c r="X60" s="129"/>
      <c r="Y60" s="129"/>
      <c r="Z60" s="129"/>
      <c r="AA60" s="129"/>
      <c r="AB60" s="129"/>
      <c r="AC60" s="129"/>
      <c r="AD60" s="129"/>
      <c r="AE60" s="129"/>
      <c r="AF60" s="129"/>
      <c r="AG60" s="129"/>
      <c r="AH60" s="129"/>
      <c r="AI60" s="129"/>
      <c r="AJ60" s="147"/>
      <c r="AK60" s="147"/>
      <c r="AL60" s="118"/>
      <c r="AM60" s="118"/>
    </row>
    <row r="61" spans="2:39" ht="71.25" customHeight="1">
      <c r="B61" s="194"/>
      <c r="C61" s="194"/>
      <c r="D61" s="194"/>
      <c r="E61" s="123" t="s">
        <v>230</v>
      </c>
      <c r="F61" s="36" t="s">
        <v>222</v>
      </c>
      <c r="G61" s="123" t="s">
        <v>223</v>
      </c>
      <c r="H61" s="125" t="s">
        <v>628</v>
      </c>
      <c r="I61" s="124" t="s">
        <v>629</v>
      </c>
      <c r="J61" s="36" t="s">
        <v>15</v>
      </c>
      <c r="K61" s="123" t="s">
        <v>642</v>
      </c>
      <c r="L61" s="129">
        <v>100000000</v>
      </c>
      <c r="M61" s="146" t="s">
        <v>618</v>
      </c>
      <c r="N61" s="146"/>
      <c r="O61" s="146"/>
      <c r="P61" s="146">
        <f t="shared" si="3"/>
        <v>100000000</v>
      </c>
      <c r="Q61" s="129">
        <v>100000000</v>
      </c>
      <c r="R61" s="129"/>
      <c r="S61" s="129"/>
      <c r="T61" s="129"/>
      <c r="U61" s="129"/>
      <c r="V61" s="129"/>
      <c r="W61" s="129"/>
      <c r="X61" s="129"/>
      <c r="Y61" s="129"/>
      <c r="Z61" s="129"/>
      <c r="AA61" s="129"/>
      <c r="AB61" s="129"/>
      <c r="AC61" s="129"/>
      <c r="AD61" s="129"/>
      <c r="AE61" s="129"/>
      <c r="AF61" s="129"/>
      <c r="AG61" s="129"/>
      <c r="AH61" s="129"/>
      <c r="AI61" s="129"/>
      <c r="AJ61" s="147"/>
      <c r="AK61" s="147"/>
      <c r="AL61" s="118"/>
      <c r="AM61" s="118"/>
    </row>
    <row r="62" spans="2:39" ht="72">
      <c r="B62" s="194"/>
      <c r="C62" s="194"/>
      <c r="D62" s="194"/>
      <c r="E62" s="194" t="s">
        <v>231</v>
      </c>
      <c r="F62" s="194" t="s">
        <v>224</v>
      </c>
      <c r="G62" s="194" t="s">
        <v>225</v>
      </c>
      <c r="H62" s="124" t="s">
        <v>571</v>
      </c>
      <c r="I62" s="124" t="s">
        <v>400</v>
      </c>
      <c r="J62" s="36" t="s">
        <v>7</v>
      </c>
      <c r="K62" s="123" t="s">
        <v>401</v>
      </c>
      <c r="L62" s="183">
        <v>600000000</v>
      </c>
      <c r="M62" s="146"/>
      <c r="N62" s="146"/>
      <c r="O62" s="146"/>
      <c r="P62" s="146">
        <f t="shared" si="3"/>
        <v>600000000</v>
      </c>
      <c r="Q62" s="129"/>
      <c r="R62" s="129"/>
      <c r="S62" s="129">
        <v>520000000</v>
      </c>
      <c r="T62" s="129"/>
      <c r="U62" s="129"/>
      <c r="V62" s="129"/>
      <c r="W62" s="129"/>
      <c r="X62" s="129"/>
      <c r="Y62" s="129"/>
      <c r="Z62" s="129"/>
      <c r="AA62" s="129">
        <v>80000000</v>
      </c>
      <c r="AB62" s="129"/>
      <c r="AC62" s="129"/>
      <c r="AD62" s="129"/>
      <c r="AE62" s="129"/>
      <c r="AF62" s="129"/>
      <c r="AG62" s="129"/>
      <c r="AH62" s="129"/>
      <c r="AI62" s="129"/>
      <c r="AJ62" s="147"/>
      <c r="AK62" s="147"/>
      <c r="AL62" s="118"/>
      <c r="AM62" s="118"/>
    </row>
    <row r="63" spans="2:39" ht="108">
      <c r="B63" s="194"/>
      <c r="C63" s="194"/>
      <c r="D63" s="194"/>
      <c r="E63" s="194"/>
      <c r="F63" s="194"/>
      <c r="G63" s="194"/>
      <c r="H63" s="125" t="s">
        <v>402</v>
      </c>
      <c r="I63" s="124" t="s">
        <v>403</v>
      </c>
      <c r="J63" s="123" t="s">
        <v>137</v>
      </c>
      <c r="K63" s="37">
        <v>1</v>
      </c>
      <c r="L63" s="129">
        <v>50000000</v>
      </c>
      <c r="M63" s="146"/>
      <c r="N63" s="146"/>
      <c r="O63" s="146"/>
      <c r="P63" s="146">
        <f t="shared" si="3"/>
        <v>50000000</v>
      </c>
      <c r="Q63" s="129">
        <v>0</v>
      </c>
      <c r="R63" s="129"/>
      <c r="S63" s="129">
        <v>50000000</v>
      </c>
      <c r="T63" s="129"/>
      <c r="U63" s="129"/>
      <c r="V63" s="129"/>
      <c r="W63" s="129"/>
      <c r="X63" s="129"/>
      <c r="Y63" s="129"/>
      <c r="Z63" s="129"/>
      <c r="AA63" s="129"/>
      <c r="AB63" s="129"/>
      <c r="AC63" s="129"/>
      <c r="AD63" s="129"/>
      <c r="AE63" s="129"/>
      <c r="AF63" s="129"/>
      <c r="AG63" s="129"/>
      <c r="AH63" s="129"/>
      <c r="AI63" s="129"/>
      <c r="AJ63" s="147"/>
      <c r="AK63" s="147"/>
      <c r="AL63" s="118"/>
      <c r="AM63" s="118"/>
    </row>
    <row r="64" spans="2:39" ht="72">
      <c r="B64" s="194"/>
      <c r="C64" s="194"/>
      <c r="D64" s="194"/>
      <c r="E64" s="194"/>
      <c r="F64" s="123" t="s">
        <v>226</v>
      </c>
      <c r="G64" s="123" t="s">
        <v>227</v>
      </c>
      <c r="H64" s="125" t="s">
        <v>404</v>
      </c>
      <c r="I64" s="124" t="s">
        <v>131</v>
      </c>
      <c r="J64" s="36" t="s">
        <v>15</v>
      </c>
      <c r="K64" s="36">
        <v>1100</v>
      </c>
      <c r="L64" s="183">
        <v>2200000000</v>
      </c>
      <c r="M64" s="146"/>
      <c r="N64" s="146"/>
      <c r="O64" s="146"/>
      <c r="P64" s="146">
        <f t="shared" si="3"/>
        <v>2200000000</v>
      </c>
      <c r="Q64" s="129"/>
      <c r="R64" s="129">
        <v>0</v>
      </c>
      <c r="S64" s="129">
        <v>1549038500</v>
      </c>
      <c r="T64" s="129"/>
      <c r="U64" s="129"/>
      <c r="V64" s="129"/>
      <c r="W64" s="129"/>
      <c r="X64" s="129"/>
      <c r="Y64" s="129"/>
      <c r="Z64" s="129">
        <v>250961500</v>
      </c>
      <c r="AA64" s="129">
        <v>400000000</v>
      </c>
      <c r="AB64" s="129"/>
      <c r="AC64" s="129"/>
      <c r="AD64" s="129"/>
      <c r="AE64" s="129"/>
      <c r="AF64" s="129"/>
      <c r="AG64" s="129"/>
      <c r="AH64" s="129"/>
      <c r="AI64" s="129"/>
      <c r="AJ64" s="147"/>
      <c r="AK64" s="147"/>
      <c r="AL64" s="118"/>
      <c r="AM64" s="118"/>
    </row>
    <row r="65" spans="2:39" ht="32.25" customHeight="1">
      <c r="B65" s="160"/>
      <c r="C65" s="160"/>
      <c r="D65" s="160"/>
      <c r="E65" s="169"/>
      <c r="F65" s="159"/>
      <c r="G65" s="160"/>
      <c r="H65" s="161" t="s">
        <v>308</v>
      </c>
      <c r="I65" s="162"/>
      <c r="J65" s="160"/>
      <c r="K65" s="160"/>
      <c r="L65" s="170">
        <f>SUM(L57:L64)</f>
        <v>4590000000</v>
      </c>
      <c r="M65" s="170">
        <f t="shared" ref="M65:P65" si="6">SUM(M57:M64)</f>
        <v>0</v>
      </c>
      <c r="N65" s="170"/>
      <c r="O65" s="170"/>
      <c r="P65" s="150">
        <f t="shared" si="6"/>
        <v>4590000000</v>
      </c>
      <c r="Q65" s="170"/>
      <c r="R65" s="170"/>
      <c r="S65" s="170"/>
      <c r="T65" s="170"/>
      <c r="U65" s="170"/>
      <c r="V65" s="170"/>
      <c r="W65" s="170"/>
      <c r="X65" s="170"/>
      <c r="Y65" s="170"/>
      <c r="Z65" s="170"/>
      <c r="AA65" s="170"/>
      <c r="AB65" s="170"/>
      <c r="AC65" s="170"/>
      <c r="AD65" s="170"/>
      <c r="AE65" s="170"/>
      <c r="AF65" s="170"/>
      <c r="AG65" s="170"/>
      <c r="AH65" s="170"/>
      <c r="AI65" s="170"/>
      <c r="AJ65" s="172"/>
      <c r="AK65" s="172"/>
      <c r="AL65" s="118"/>
      <c r="AM65" s="118"/>
    </row>
    <row r="66" spans="2:39" ht="42.75" customHeight="1">
      <c r="B66" s="154" t="s">
        <v>55</v>
      </c>
      <c r="C66" s="154" t="s">
        <v>3</v>
      </c>
      <c r="D66" s="154" t="s">
        <v>2</v>
      </c>
      <c r="E66" s="173" t="s">
        <v>1</v>
      </c>
      <c r="F66" s="154"/>
      <c r="G66" s="154"/>
      <c r="H66" s="154" t="s">
        <v>4</v>
      </c>
      <c r="I66" s="155" t="s">
        <v>30</v>
      </c>
      <c r="J66" s="154" t="s">
        <v>6</v>
      </c>
      <c r="K66" s="154">
        <v>2025</v>
      </c>
      <c r="L66" s="116"/>
      <c r="M66" s="153" t="s">
        <v>8</v>
      </c>
      <c r="N66" s="153" t="s">
        <v>611</v>
      </c>
      <c r="O66" s="153"/>
      <c r="P66" s="153" t="s">
        <v>600</v>
      </c>
      <c r="Q66" s="157" t="s">
        <v>579</v>
      </c>
      <c r="R66" s="157" t="s">
        <v>580</v>
      </c>
      <c r="S66" s="157" t="s">
        <v>581</v>
      </c>
      <c r="T66" s="157" t="s">
        <v>582</v>
      </c>
      <c r="U66" s="157" t="s">
        <v>583</v>
      </c>
      <c r="V66" s="157" t="s">
        <v>584</v>
      </c>
      <c r="W66" s="157" t="s">
        <v>585</v>
      </c>
      <c r="X66" s="157" t="s">
        <v>586</v>
      </c>
      <c r="Y66" s="157" t="s">
        <v>597</v>
      </c>
      <c r="Z66" s="157" t="s">
        <v>587</v>
      </c>
      <c r="AA66" s="157" t="s">
        <v>588</v>
      </c>
      <c r="AB66" s="157" t="s">
        <v>589</v>
      </c>
      <c r="AC66" s="157" t="s">
        <v>596</v>
      </c>
      <c r="AD66" s="157" t="s">
        <v>590</v>
      </c>
      <c r="AE66" s="157" t="s">
        <v>591</v>
      </c>
      <c r="AF66" s="157" t="s">
        <v>599</v>
      </c>
      <c r="AG66" s="157" t="s">
        <v>592</v>
      </c>
      <c r="AH66" s="157" t="s">
        <v>593</v>
      </c>
      <c r="AI66" s="157" t="s">
        <v>594</v>
      </c>
      <c r="AJ66" s="157" t="s">
        <v>595</v>
      </c>
      <c r="AK66" s="157" t="s">
        <v>598</v>
      </c>
      <c r="AL66" s="118"/>
      <c r="AM66" s="118"/>
    </row>
    <row r="67" spans="2:39" ht="84" customHeight="1">
      <c r="B67" s="194" t="s">
        <v>204</v>
      </c>
      <c r="C67" s="194" t="s">
        <v>278</v>
      </c>
      <c r="D67" s="194" t="s">
        <v>143</v>
      </c>
      <c r="E67" s="194" t="s">
        <v>279</v>
      </c>
      <c r="F67" s="126" t="s">
        <v>232</v>
      </c>
      <c r="G67" s="123" t="s">
        <v>53</v>
      </c>
      <c r="H67" s="125" t="s">
        <v>405</v>
      </c>
      <c r="I67" s="124" t="s">
        <v>406</v>
      </c>
      <c r="J67" s="36" t="s">
        <v>27</v>
      </c>
      <c r="K67" s="36">
        <v>1.7</v>
      </c>
      <c r="L67" s="129">
        <v>674770701.85000002</v>
      </c>
      <c r="M67" s="146" t="s">
        <v>572</v>
      </c>
      <c r="N67" s="146"/>
      <c r="O67" s="146"/>
      <c r="P67" s="146">
        <f t="shared" ref="P67:P93" si="7">SUM(Q67:AK67)</f>
        <v>674770701.85000002</v>
      </c>
      <c r="Q67" s="129"/>
      <c r="R67" s="129">
        <v>674770701.85000002</v>
      </c>
      <c r="S67" s="129">
        <v>0</v>
      </c>
      <c r="T67" s="129"/>
      <c r="U67" s="129"/>
      <c r="V67" s="129"/>
      <c r="W67" s="129"/>
      <c r="X67" s="129"/>
      <c r="Y67" s="129"/>
      <c r="Z67" s="129"/>
      <c r="AA67" s="129"/>
      <c r="AB67" s="129"/>
      <c r="AC67" s="129"/>
      <c r="AD67" s="129"/>
      <c r="AE67" s="129"/>
      <c r="AF67" s="129"/>
      <c r="AG67" s="129"/>
      <c r="AH67" s="129"/>
      <c r="AI67" s="129"/>
      <c r="AJ67" s="147"/>
      <c r="AK67" s="147"/>
      <c r="AL67" s="118"/>
      <c r="AM67" s="118"/>
    </row>
    <row r="68" spans="2:39" ht="66" customHeight="1">
      <c r="B68" s="194"/>
      <c r="C68" s="194"/>
      <c r="D68" s="194"/>
      <c r="E68" s="194"/>
      <c r="F68" s="126" t="s">
        <v>233</v>
      </c>
      <c r="G68" s="123" t="s">
        <v>234</v>
      </c>
      <c r="H68" s="125" t="s">
        <v>407</v>
      </c>
      <c r="I68" s="124" t="s">
        <v>408</v>
      </c>
      <c r="J68" s="36" t="s">
        <v>27</v>
      </c>
      <c r="K68" s="36">
        <v>5</v>
      </c>
      <c r="L68" s="129">
        <v>150000000</v>
      </c>
      <c r="M68" s="146"/>
      <c r="N68" s="146"/>
      <c r="O68" s="146"/>
      <c r="P68" s="146">
        <f t="shared" si="7"/>
        <v>150000000</v>
      </c>
      <c r="Q68" s="129"/>
      <c r="R68" s="129">
        <v>120000000</v>
      </c>
      <c r="S68" s="129">
        <v>30000000</v>
      </c>
      <c r="T68" s="129"/>
      <c r="U68" s="129"/>
      <c r="V68" s="129"/>
      <c r="W68" s="129"/>
      <c r="X68" s="129"/>
      <c r="Y68" s="129"/>
      <c r="Z68" s="129"/>
      <c r="AA68" s="129"/>
      <c r="AB68" s="129"/>
      <c r="AC68" s="129"/>
      <c r="AD68" s="129"/>
      <c r="AE68" s="129"/>
      <c r="AF68" s="129"/>
      <c r="AG68" s="129"/>
      <c r="AH68" s="129"/>
      <c r="AI68" s="129"/>
      <c r="AJ68" s="147"/>
      <c r="AK68" s="147"/>
      <c r="AL68" s="118"/>
      <c r="AM68" s="118"/>
    </row>
    <row r="69" spans="2:39" ht="113.25" customHeight="1">
      <c r="B69" s="194"/>
      <c r="C69" s="194"/>
      <c r="D69" s="194"/>
      <c r="E69" s="194"/>
      <c r="F69" s="126" t="s">
        <v>235</v>
      </c>
      <c r="G69" s="123" t="s">
        <v>236</v>
      </c>
      <c r="H69" s="125" t="s">
        <v>409</v>
      </c>
      <c r="I69" s="124" t="s">
        <v>410</v>
      </c>
      <c r="J69" s="36" t="s">
        <v>27</v>
      </c>
      <c r="K69" s="36">
        <v>6</v>
      </c>
      <c r="L69" s="129">
        <v>180000000</v>
      </c>
      <c r="M69" s="146"/>
      <c r="N69" s="146"/>
      <c r="O69" s="146"/>
      <c r="P69" s="146">
        <f t="shared" si="7"/>
        <v>180000000</v>
      </c>
      <c r="Q69" s="129"/>
      <c r="R69" s="129">
        <v>180000000</v>
      </c>
      <c r="S69" s="129"/>
      <c r="T69" s="129"/>
      <c r="U69" s="129"/>
      <c r="V69" s="129"/>
      <c r="W69" s="129"/>
      <c r="X69" s="129"/>
      <c r="Y69" s="129"/>
      <c r="Z69" s="129"/>
      <c r="AA69" s="129"/>
      <c r="AB69" s="129"/>
      <c r="AC69" s="129"/>
      <c r="AD69" s="129"/>
      <c r="AE69" s="129"/>
      <c r="AF69" s="129"/>
      <c r="AG69" s="129"/>
      <c r="AH69" s="129"/>
      <c r="AI69" s="129"/>
      <c r="AJ69" s="147"/>
      <c r="AK69" s="147"/>
      <c r="AL69" s="118"/>
      <c r="AM69" s="118"/>
    </row>
    <row r="70" spans="2:39" ht="82.5" customHeight="1">
      <c r="B70" s="194"/>
      <c r="C70" s="194"/>
      <c r="D70" s="194"/>
      <c r="E70" s="194"/>
      <c r="F70" s="126" t="s">
        <v>237</v>
      </c>
      <c r="G70" s="123" t="s">
        <v>238</v>
      </c>
      <c r="H70" s="125" t="s">
        <v>411</v>
      </c>
      <c r="I70" s="124" t="s">
        <v>412</v>
      </c>
      <c r="J70" s="36" t="s">
        <v>27</v>
      </c>
      <c r="K70" s="36">
        <v>8</v>
      </c>
      <c r="L70" s="129">
        <v>500000000</v>
      </c>
      <c r="M70" s="146" t="s">
        <v>607</v>
      </c>
      <c r="N70" s="146"/>
      <c r="O70" s="146"/>
      <c r="P70" s="146">
        <f t="shared" si="7"/>
        <v>500000000</v>
      </c>
      <c r="Q70" s="129"/>
      <c r="R70" s="129">
        <v>500000000</v>
      </c>
      <c r="S70" s="129"/>
      <c r="T70" s="129"/>
      <c r="U70" s="129"/>
      <c r="V70" s="129"/>
      <c r="W70" s="129"/>
      <c r="X70" s="129"/>
      <c r="Y70" s="129"/>
      <c r="Z70" s="129"/>
      <c r="AA70" s="129"/>
      <c r="AB70" s="129"/>
      <c r="AC70" s="129"/>
      <c r="AD70" s="129"/>
      <c r="AE70" s="129"/>
      <c r="AF70" s="129"/>
      <c r="AG70" s="129"/>
      <c r="AH70" s="129"/>
      <c r="AI70" s="129"/>
      <c r="AJ70" s="147"/>
      <c r="AK70" s="147"/>
      <c r="AL70" s="118"/>
      <c r="AM70" s="118"/>
    </row>
    <row r="71" spans="2:39" ht="108">
      <c r="B71" s="194"/>
      <c r="C71" s="194"/>
      <c r="D71" s="194"/>
      <c r="E71" s="194"/>
      <c r="F71" s="126" t="s">
        <v>240</v>
      </c>
      <c r="G71" s="123" t="s">
        <v>241</v>
      </c>
      <c r="H71" s="125" t="s">
        <v>413</v>
      </c>
      <c r="I71" s="124" t="s">
        <v>414</v>
      </c>
      <c r="J71" s="36" t="s">
        <v>7</v>
      </c>
      <c r="K71" s="36">
        <v>47</v>
      </c>
      <c r="L71" s="129">
        <v>235000000</v>
      </c>
      <c r="M71" s="146" t="s">
        <v>608</v>
      </c>
      <c r="N71" s="146"/>
      <c r="O71" s="146"/>
      <c r="P71" s="146">
        <f t="shared" si="7"/>
        <v>235000000</v>
      </c>
      <c r="Q71" s="129"/>
      <c r="R71" s="129">
        <v>235000000</v>
      </c>
      <c r="S71" s="129"/>
      <c r="T71" s="129"/>
      <c r="U71" s="129"/>
      <c r="V71" s="129"/>
      <c r="W71" s="129"/>
      <c r="X71" s="129"/>
      <c r="Y71" s="129"/>
      <c r="Z71" s="129"/>
      <c r="AA71" s="129"/>
      <c r="AB71" s="129"/>
      <c r="AC71" s="129"/>
      <c r="AD71" s="129"/>
      <c r="AE71" s="129"/>
      <c r="AF71" s="129"/>
      <c r="AG71" s="129"/>
      <c r="AH71" s="129"/>
      <c r="AI71" s="129"/>
      <c r="AJ71" s="147"/>
      <c r="AK71" s="147"/>
      <c r="AL71" s="118"/>
      <c r="AM71" s="118"/>
    </row>
    <row r="72" spans="2:39" ht="26.25" customHeight="1">
      <c r="B72" s="160"/>
      <c r="C72" s="160"/>
      <c r="D72" s="160"/>
      <c r="E72" s="169"/>
      <c r="F72" s="159"/>
      <c r="G72" s="160"/>
      <c r="H72" s="161" t="s">
        <v>306</v>
      </c>
      <c r="I72" s="162"/>
      <c r="J72" s="160"/>
      <c r="K72" s="160"/>
      <c r="L72" s="170">
        <f>SUM(L67:L71)</f>
        <v>1739770701.8499999</v>
      </c>
      <c r="M72" s="170">
        <f t="shared" ref="M72:P72" si="8">SUM(M67:M71)</f>
        <v>0</v>
      </c>
      <c r="N72" s="170"/>
      <c r="O72" s="170"/>
      <c r="P72" s="150">
        <f t="shared" si="8"/>
        <v>1739770701.8499999</v>
      </c>
      <c r="Q72" s="170"/>
      <c r="R72" s="170"/>
      <c r="S72" s="170"/>
      <c r="T72" s="170"/>
      <c r="U72" s="170"/>
      <c r="V72" s="170"/>
      <c r="W72" s="170"/>
      <c r="X72" s="170"/>
      <c r="Y72" s="170"/>
      <c r="Z72" s="170"/>
      <c r="AA72" s="170"/>
      <c r="AB72" s="170"/>
      <c r="AC72" s="170"/>
      <c r="AD72" s="170"/>
      <c r="AE72" s="170"/>
      <c r="AF72" s="170"/>
      <c r="AG72" s="170"/>
      <c r="AH72" s="170"/>
      <c r="AI72" s="170"/>
      <c r="AJ72" s="172"/>
      <c r="AK72" s="172"/>
      <c r="AL72" s="118"/>
      <c r="AM72" s="118"/>
    </row>
    <row r="73" spans="2:39" ht="69.75" customHeight="1">
      <c r="B73" s="154" t="s">
        <v>55</v>
      </c>
      <c r="C73" s="154" t="s">
        <v>3</v>
      </c>
      <c r="D73" s="154" t="s">
        <v>2</v>
      </c>
      <c r="E73" s="173" t="s">
        <v>1</v>
      </c>
      <c r="F73" s="154"/>
      <c r="G73" s="154"/>
      <c r="H73" s="154" t="s">
        <v>4</v>
      </c>
      <c r="I73" s="155" t="s">
        <v>30</v>
      </c>
      <c r="J73" s="154" t="s">
        <v>6</v>
      </c>
      <c r="K73" s="154">
        <v>2025</v>
      </c>
      <c r="L73" s="116"/>
      <c r="M73" s="153" t="s">
        <v>8</v>
      </c>
      <c r="N73" s="153" t="s">
        <v>611</v>
      </c>
      <c r="O73" s="153"/>
      <c r="P73" s="153" t="s">
        <v>600</v>
      </c>
      <c r="Q73" s="157" t="s">
        <v>579</v>
      </c>
      <c r="R73" s="157" t="s">
        <v>580</v>
      </c>
      <c r="S73" s="157" t="s">
        <v>581</v>
      </c>
      <c r="T73" s="157" t="s">
        <v>582</v>
      </c>
      <c r="U73" s="157" t="s">
        <v>583</v>
      </c>
      <c r="V73" s="157" t="s">
        <v>584</v>
      </c>
      <c r="W73" s="157" t="s">
        <v>585</v>
      </c>
      <c r="X73" s="157" t="s">
        <v>586</v>
      </c>
      <c r="Y73" s="157" t="s">
        <v>597</v>
      </c>
      <c r="Z73" s="157" t="s">
        <v>587</v>
      </c>
      <c r="AA73" s="157" t="s">
        <v>588</v>
      </c>
      <c r="AB73" s="157" t="s">
        <v>589</v>
      </c>
      <c r="AC73" s="157" t="s">
        <v>596</v>
      </c>
      <c r="AD73" s="157" t="s">
        <v>590</v>
      </c>
      <c r="AE73" s="157" t="s">
        <v>591</v>
      </c>
      <c r="AF73" s="157" t="s">
        <v>599</v>
      </c>
      <c r="AG73" s="157" t="s">
        <v>592</v>
      </c>
      <c r="AH73" s="157" t="s">
        <v>593</v>
      </c>
      <c r="AI73" s="157" t="s">
        <v>594</v>
      </c>
      <c r="AJ73" s="157" t="s">
        <v>595</v>
      </c>
      <c r="AK73" s="157" t="s">
        <v>598</v>
      </c>
      <c r="AL73" s="118"/>
      <c r="AM73" s="118"/>
    </row>
    <row r="74" spans="2:39" ht="100.5" customHeight="1">
      <c r="B74" s="194" t="s">
        <v>204</v>
      </c>
      <c r="C74" s="194" t="s">
        <v>17</v>
      </c>
      <c r="D74" s="194" t="s">
        <v>18</v>
      </c>
      <c r="E74" s="123" t="s">
        <v>280</v>
      </c>
      <c r="F74" s="125" t="s">
        <v>282</v>
      </c>
      <c r="G74" s="123" t="s">
        <v>283</v>
      </c>
      <c r="H74" s="125" t="s">
        <v>415</v>
      </c>
      <c r="I74" s="124" t="s">
        <v>284</v>
      </c>
      <c r="J74" s="123" t="s">
        <v>15</v>
      </c>
      <c r="K74" s="36">
        <v>1</v>
      </c>
      <c r="L74" s="129">
        <v>400000000</v>
      </c>
      <c r="M74" s="146" t="s">
        <v>609</v>
      </c>
      <c r="N74" s="146"/>
      <c r="O74" s="146"/>
      <c r="P74" s="146">
        <f t="shared" si="7"/>
        <v>400000000</v>
      </c>
      <c r="Q74" s="129"/>
      <c r="R74" s="129">
        <v>400000000</v>
      </c>
      <c r="S74" s="129"/>
      <c r="T74" s="129"/>
      <c r="U74" s="129"/>
      <c r="V74" s="129"/>
      <c r="W74" s="129"/>
      <c r="X74" s="129"/>
      <c r="Y74" s="129"/>
      <c r="Z74" s="129"/>
      <c r="AA74" s="129"/>
      <c r="AB74" s="129"/>
      <c r="AC74" s="129"/>
      <c r="AD74" s="129"/>
      <c r="AE74" s="129"/>
      <c r="AF74" s="129"/>
      <c r="AG74" s="129"/>
      <c r="AH74" s="129"/>
      <c r="AI74" s="129"/>
      <c r="AJ74" s="147"/>
      <c r="AK74" s="147"/>
      <c r="AL74" s="118"/>
      <c r="AM74" s="118"/>
    </row>
    <row r="75" spans="2:39" ht="126">
      <c r="B75" s="194"/>
      <c r="C75" s="194"/>
      <c r="D75" s="194"/>
      <c r="E75" s="194" t="s">
        <v>281</v>
      </c>
      <c r="F75" s="125" t="s">
        <v>242</v>
      </c>
      <c r="G75" s="194" t="s">
        <v>243</v>
      </c>
      <c r="H75" s="125" t="s">
        <v>416</v>
      </c>
      <c r="I75" s="125" t="s">
        <v>417</v>
      </c>
      <c r="J75" s="123" t="s">
        <v>57</v>
      </c>
      <c r="K75" s="36">
        <v>16</v>
      </c>
      <c r="L75" s="129">
        <v>110000000</v>
      </c>
      <c r="M75" s="146" t="s">
        <v>610</v>
      </c>
      <c r="N75" s="146"/>
      <c r="O75" s="146"/>
      <c r="P75" s="146">
        <f t="shared" si="7"/>
        <v>110000000</v>
      </c>
      <c r="Q75" s="129"/>
      <c r="R75" s="129">
        <v>110000000</v>
      </c>
      <c r="S75" s="129"/>
      <c r="T75" s="129"/>
      <c r="U75" s="129"/>
      <c r="V75" s="129"/>
      <c r="W75" s="129"/>
      <c r="X75" s="129"/>
      <c r="Y75" s="129"/>
      <c r="Z75" s="129"/>
      <c r="AA75" s="129"/>
      <c r="AB75" s="129"/>
      <c r="AC75" s="129"/>
      <c r="AD75" s="129"/>
      <c r="AE75" s="129"/>
      <c r="AF75" s="129"/>
      <c r="AG75" s="129"/>
      <c r="AH75" s="129"/>
      <c r="AI75" s="129"/>
      <c r="AJ75" s="147"/>
      <c r="AK75" s="147"/>
      <c r="AL75" s="118"/>
      <c r="AM75" s="118"/>
    </row>
    <row r="76" spans="2:39" ht="72">
      <c r="B76" s="194"/>
      <c r="C76" s="194"/>
      <c r="D76" s="194"/>
      <c r="E76" s="194"/>
      <c r="F76" s="125" t="s">
        <v>245</v>
      </c>
      <c r="G76" s="194"/>
      <c r="H76" s="125" t="s">
        <v>418</v>
      </c>
      <c r="I76" s="125" t="s">
        <v>419</v>
      </c>
      <c r="J76" s="123" t="s">
        <v>15</v>
      </c>
      <c r="K76" s="36" t="s">
        <v>26</v>
      </c>
      <c r="L76" s="129">
        <v>800000000</v>
      </c>
      <c r="M76" s="146"/>
      <c r="N76" s="146"/>
      <c r="O76" s="146"/>
      <c r="P76" s="146">
        <v>0</v>
      </c>
      <c r="Q76" s="129">
        <v>0</v>
      </c>
      <c r="R76" s="129"/>
      <c r="S76" s="129"/>
      <c r="T76" s="129"/>
      <c r="U76" s="129"/>
      <c r="V76" s="129"/>
      <c r="W76" s="129"/>
      <c r="X76" s="129"/>
      <c r="Y76" s="129"/>
      <c r="Z76" s="129"/>
      <c r="AA76" s="129"/>
      <c r="AB76" s="129"/>
      <c r="AC76" s="129"/>
      <c r="AD76" s="129"/>
      <c r="AE76" s="129"/>
      <c r="AF76" s="129"/>
      <c r="AG76" s="129"/>
      <c r="AH76" s="129"/>
      <c r="AI76" s="129"/>
      <c r="AJ76" s="147"/>
      <c r="AK76" s="147"/>
      <c r="AL76" s="118"/>
      <c r="AM76" s="118"/>
    </row>
    <row r="77" spans="2:39" ht="34.5" customHeight="1">
      <c r="B77" s="160"/>
      <c r="C77" s="184"/>
      <c r="D77" s="184" t="s">
        <v>144</v>
      </c>
      <c r="E77" s="169"/>
      <c r="F77" s="162"/>
      <c r="G77" s="184"/>
      <c r="H77" s="161" t="s">
        <v>309</v>
      </c>
      <c r="I77" s="162"/>
      <c r="J77" s="160"/>
      <c r="K77" s="160"/>
      <c r="L77" s="170"/>
      <c r="M77" s="171"/>
      <c r="N77" s="171"/>
      <c r="O77" s="171"/>
      <c r="P77" s="185">
        <f>SUM(P74:P76)</f>
        <v>510000000</v>
      </c>
      <c r="Q77" s="170"/>
      <c r="R77" s="170"/>
      <c r="S77" s="170"/>
      <c r="T77" s="170"/>
      <c r="U77" s="170"/>
      <c r="V77" s="170"/>
      <c r="W77" s="170"/>
      <c r="X77" s="170"/>
      <c r="Y77" s="170"/>
      <c r="Z77" s="170"/>
      <c r="AA77" s="170"/>
      <c r="AB77" s="170"/>
      <c r="AC77" s="170"/>
      <c r="AD77" s="170"/>
      <c r="AE77" s="170"/>
      <c r="AF77" s="170"/>
      <c r="AG77" s="170"/>
      <c r="AH77" s="170"/>
      <c r="AI77" s="170"/>
      <c r="AJ77" s="172"/>
      <c r="AK77" s="172"/>
      <c r="AL77" s="118"/>
      <c r="AM77" s="118"/>
    </row>
    <row r="78" spans="2:39" ht="48.75" customHeight="1">
      <c r="B78" s="186" t="s">
        <v>56</v>
      </c>
      <c r="C78" s="186" t="s">
        <v>3</v>
      </c>
      <c r="D78" s="186" t="s">
        <v>2</v>
      </c>
      <c r="E78" s="187" t="s">
        <v>1</v>
      </c>
      <c r="F78" s="186"/>
      <c r="G78" s="186"/>
      <c r="H78" s="186" t="s">
        <v>4</v>
      </c>
      <c r="I78" s="187" t="s">
        <v>30</v>
      </c>
      <c r="J78" s="186" t="s">
        <v>6</v>
      </c>
      <c r="K78" s="186">
        <v>2025</v>
      </c>
      <c r="M78" s="153" t="s">
        <v>8</v>
      </c>
      <c r="N78" s="153" t="s">
        <v>611</v>
      </c>
      <c r="O78" s="153"/>
      <c r="P78" s="153" t="s">
        <v>600</v>
      </c>
      <c r="Q78" s="157" t="s">
        <v>579</v>
      </c>
      <c r="R78" s="157" t="s">
        <v>580</v>
      </c>
      <c r="S78" s="157" t="s">
        <v>581</v>
      </c>
      <c r="T78" s="157" t="s">
        <v>582</v>
      </c>
      <c r="U78" s="157" t="s">
        <v>583</v>
      </c>
      <c r="V78" s="157" t="s">
        <v>584</v>
      </c>
      <c r="W78" s="157" t="s">
        <v>585</v>
      </c>
      <c r="X78" s="157" t="s">
        <v>586</v>
      </c>
      <c r="Y78" s="157" t="s">
        <v>597</v>
      </c>
      <c r="Z78" s="157" t="s">
        <v>587</v>
      </c>
      <c r="AA78" s="157" t="s">
        <v>588</v>
      </c>
      <c r="AB78" s="157" t="s">
        <v>589</v>
      </c>
      <c r="AC78" s="157" t="s">
        <v>596</v>
      </c>
      <c r="AD78" s="157" t="s">
        <v>590</v>
      </c>
      <c r="AE78" s="157" t="s">
        <v>591</v>
      </c>
      <c r="AF78" s="157" t="s">
        <v>599</v>
      </c>
      <c r="AG78" s="157" t="s">
        <v>592</v>
      </c>
      <c r="AH78" s="157" t="s">
        <v>593</v>
      </c>
      <c r="AI78" s="157" t="s">
        <v>594</v>
      </c>
      <c r="AJ78" s="157" t="s">
        <v>595</v>
      </c>
      <c r="AK78" s="157" t="s">
        <v>598</v>
      </c>
      <c r="AL78" s="118"/>
      <c r="AM78" s="118"/>
    </row>
    <row r="79" spans="2:39" ht="180" customHeight="1">
      <c r="B79" s="194" t="s">
        <v>285</v>
      </c>
      <c r="C79" s="194" t="s">
        <v>19</v>
      </c>
      <c r="D79" s="194" t="s">
        <v>286</v>
      </c>
      <c r="E79" s="194" t="s">
        <v>287</v>
      </c>
      <c r="F79" s="71" t="s">
        <v>246</v>
      </c>
      <c r="G79" s="123" t="s">
        <v>247</v>
      </c>
      <c r="H79" s="125" t="s">
        <v>420</v>
      </c>
      <c r="I79" s="124" t="s">
        <v>421</v>
      </c>
      <c r="J79" s="123" t="s">
        <v>7</v>
      </c>
      <c r="K79" s="37">
        <v>7</v>
      </c>
      <c r="L79" s="129">
        <v>2038090316.8999999</v>
      </c>
      <c r="M79" s="146" t="s">
        <v>577</v>
      </c>
      <c r="N79" s="146"/>
      <c r="O79" s="146"/>
      <c r="P79" s="146">
        <f t="shared" si="7"/>
        <v>2038090316.8999999</v>
      </c>
      <c r="Q79" s="129">
        <v>1690544118.7499998</v>
      </c>
      <c r="R79" s="129">
        <v>165229298.15000001</v>
      </c>
      <c r="S79" s="129"/>
      <c r="T79" s="129">
        <v>50000000</v>
      </c>
      <c r="U79" s="129">
        <v>132316900</v>
      </c>
      <c r="V79" s="129"/>
      <c r="W79" s="129"/>
      <c r="X79" s="129"/>
      <c r="Y79" s="129"/>
      <c r="Z79" s="129"/>
      <c r="AA79" s="129"/>
      <c r="AB79" s="129"/>
      <c r="AC79" s="129"/>
      <c r="AD79" s="129"/>
      <c r="AE79" s="129"/>
      <c r="AF79" s="129"/>
      <c r="AG79" s="129"/>
      <c r="AH79" s="129"/>
      <c r="AI79" s="129"/>
      <c r="AJ79" s="147"/>
      <c r="AK79" s="147"/>
      <c r="AL79" s="118"/>
      <c r="AM79" s="118"/>
    </row>
    <row r="80" spans="2:39" ht="72">
      <c r="B80" s="194"/>
      <c r="C80" s="194"/>
      <c r="D80" s="194"/>
      <c r="E80" s="194"/>
      <c r="F80" s="71" t="s">
        <v>248</v>
      </c>
      <c r="G80" s="123" t="s">
        <v>249</v>
      </c>
      <c r="H80" s="125" t="s">
        <v>422</v>
      </c>
      <c r="I80" s="124" t="s">
        <v>423</v>
      </c>
      <c r="J80" s="123" t="s">
        <v>57</v>
      </c>
      <c r="K80" s="37">
        <v>1</v>
      </c>
      <c r="L80" s="129">
        <v>350000000</v>
      </c>
      <c r="M80" s="146"/>
      <c r="N80" s="146"/>
      <c r="O80" s="146"/>
      <c r="P80" s="146">
        <f t="shared" si="7"/>
        <v>350000000</v>
      </c>
      <c r="Q80" s="129">
        <v>350000000</v>
      </c>
      <c r="R80" s="129"/>
      <c r="S80" s="129"/>
      <c r="T80" s="129"/>
      <c r="U80" s="129"/>
      <c r="V80" s="129"/>
      <c r="W80" s="129"/>
      <c r="X80" s="129"/>
      <c r="Y80" s="129"/>
      <c r="Z80" s="129"/>
      <c r="AA80" s="129"/>
      <c r="AB80" s="129"/>
      <c r="AC80" s="129"/>
      <c r="AD80" s="129"/>
      <c r="AE80" s="129"/>
      <c r="AF80" s="129"/>
      <c r="AG80" s="129"/>
      <c r="AH80" s="129"/>
      <c r="AI80" s="129"/>
      <c r="AJ80" s="147"/>
      <c r="AK80" s="147"/>
      <c r="AL80" s="118"/>
      <c r="AM80" s="118"/>
    </row>
    <row r="81" spans="2:39" ht="72">
      <c r="B81" s="194"/>
      <c r="C81" s="194"/>
      <c r="D81" s="194"/>
      <c r="E81" s="194"/>
      <c r="F81" s="71" t="s">
        <v>250</v>
      </c>
      <c r="G81" s="36" t="s">
        <v>251</v>
      </c>
      <c r="H81" s="125" t="s">
        <v>424</v>
      </c>
      <c r="I81" s="125" t="s">
        <v>425</v>
      </c>
      <c r="J81" s="123" t="s">
        <v>57</v>
      </c>
      <c r="K81" s="37">
        <v>1</v>
      </c>
      <c r="L81" s="129">
        <v>50000000</v>
      </c>
      <c r="M81" s="146"/>
      <c r="N81" s="146"/>
      <c r="O81" s="146"/>
      <c r="P81" s="146">
        <f t="shared" si="7"/>
        <v>50000000</v>
      </c>
      <c r="Q81" s="129">
        <v>50000000</v>
      </c>
      <c r="R81" s="129"/>
      <c r="S81" s="129"/>
      <c r="T81" s="129"/>
      <c r="U81" s="129"/>
      <c r="V81" s="129"/>
      <c r="W81" s="129"/>
      <c r="X81" s="129"/>
      <c r="Y81" s="129"/>
      <c r="Z81" s="129"/>
      <c r="AA81" s="129"/>
      <c r="AB81" s="129"/>
      <c r="AC81" s="129"/>
      <c r="AD81" s="129"/>
      <c r="AE81" s="129"/>
      <c r="AF81" s="129"/>
      <c r="AG81" s="129"/>
      <c r="AH81" s="129"/>
      <c r="AI81" s="129"/>
      <c r="AJ81" s="147"/>
      <c r="AK81" s="147"/>
      <c r="AL81" s="118"/>
      <c r="AM81" s="118"/>
    </row>
    <row r="82" spans="2:39" ht="72">
      <c r="B82" s="194"/>
      <c r="C82" s="194"/>
      <c r="D82" s="194"/>
      <c r="E82" s="123" t="s">
        <v>288</v>
      </c>
      <c r="F82" s="126" t="s">
        <v>252</v>
      </c>
      <c r="G82" s="123" t="s">
        <v>253</v>
      </c>
      <c r="H82" s="125" t="s">
        <v>426</v>
      </c>
      <c r="I82" s="124" t="s">
        <v>427</v>
      </c>
      <c r="J82" s="36" t="s">
        <v>7</v>
      </c>
      <c r="K82" s="37">
        <v>5</v>
      </c>
      <c r="L82" s="129">
        <v>350000000</v>
      </c>
      <c r="M82" s="146"/>
      <c r="N82" s="146"/>
      <c r="O82" s="146"/>
      <c r="P82" s="146">
        <f t="shared" si="7"/>
        <v>350000000</v>
      </c>
      <c r="Q82" s="129">
        <v>350000000</v>
      </c>
      <c r="R82" s="129"/>
      <c r="S82" s="129"/>
      <c r="T82" s="129"/>
      <c r="U82" s="129"/>
      <c r="V82" s="129"/>
      <c r="W82" s="129"/>
      <c r="X82" s="129"/>
      <c r="Y82" s="129"/>
      <c r="Z82" s="129"/>
      <c r="AA82" s="129"/>
      <c r="AB82" s="129"/>
      <c r="AC82" s="129"/>
      <c r="AD82" s="129"/>
      <c r="AE82" s="129"/>
      <c r="AF82" s="129"/>
      <c r="AG82" s="129"/>
      <c r="AH82" s="129"/>
      <c r="AI82" s="129"/>
      <c r="AJ82" s="147"/>
      <c r="AK82" s="147"/>
      <c r="AL82" s="118"/>
      <c r="AM82" s="118"/>
    </row>
    <row r="83" spans="2:39" ht="90">
      <c r="B83" s="194"/>
      <c r="C83" s="194"/>
      <c r="D83" s="194"/>
      <c r="E83" s="194" t="s">
        <v>289</v>
      </c>
      <c r="F83" s="126" t="s">
        <v>254</v>
      </c>
      <c r="G83" s="123" t="s">
        <v>255</v>
      </c>
      <c r="H83" s="125" t="s">
        <v>428</v>
      </c>
      <c r="I83" s="124" t="s">
        <v>429</v>
      </c>
      <c r="J83" s="36" t="s">
        <v>7</v>
      </c>
      <c r="K83" s="73">
        <v>1</v>
      </c>
      <c r="L83" s="129">
        <v>250000000</v>
      </c>
      <c r="M83" s="146" t="s">
        <v>561</v>
      </c>
      <c r="N83" s="146"/>
      <c r="O83" s="146"/>
      <c r="P83" s="146">
        <f t="shared" si="7"/>
        <v>250000000</v>
      </c>
      <c r="Q83" s="129">
        <v>250000000</v>
      </c>
      <c r="R83" s="129"/>
      <c r="S83" s="129"/>
      <c r="T83" s="129"/>
      <c r="U83" s="129"/>
      <c r="V83" s="129"/>
      <c r="W83" s="129"/>
      <c r="X83" s="129"/>
      <c r="Y83" s="129"/>
      <c r="Z83" s="129"/>
      <c r="AA83" s="129"/>
      <c r="AB83" s="129"/>
      <c r="AC83" s="129"/>
      <c r="AD83" s="129"/>
      <c r="AE83" s="129"/>
      <c r="AF83" s="129"/>
      <c r="AG83" s="129"/>
      <c r="AH83" s="129"/>
      <c r="AI83" s="129"/>
      <c r="AJ83" s="147"/>
      <c r="AK83" s="147"/>
      <c r="AL83" s="118"/>
      <c r="AM83" s="118"/>
    </row>
    <row r="84" spans="2:39" ht="72">
      <c r="B84" s="194"/>
      <c r="C84" s="194"/>
      <c r="D84" s="194"/>
      <c r="E84" s="194"/>
      <c r="F84" s="126" t="s">
        <v>256</v>
      </c>
      <c r="G84" s="123" t="s">
        <v>257</v>
      </c>
      <c r="H84" s="125" t="s">
        <v>633</v>
      </c>
      <c r="I84" s="124" t="s">
        <v>634</v>
      </c>
      <c r="J84" s="123" t="s">
        <v>57</v>
      </c>
      <c r="K84" s="73">
        <v>0.9</v>
      </c>
      <c r="L84" s="129">
        <v>900000000</v>
      </c>
      <c r="M84" s="146" t="s">
        <v>576</v>
      </c>
      <c r="N84" s="146"/>
      <c r="O84" s="146"/>
      <c r="P84" s="146">
        <f t="shared" si="7"/>
        <v>900000000</v>
      </c>
      <c r="Q84" s="129">
        <v>900000000</v>
      </c>
      <c r="R84" s="129"/>
      <c r="S84" s="129"/>
      <c r="T84" s="129"/>
      <c r="U84" s="129"/>
      <c r="V84" s="129"/>
      <c r="W84" s="129"/>
      <c r="X84" s="129"/>
      <c r="Y84" s="129"/>
      <c r="Z84" s="129"/>
      <c r="AA84" s="129"/>
      <c r="AB84" s="129"/>
      <c r="AC84" s="129"/>
      <c r="AD84" s="129"/>
      <c r="AE84" s="129"/>
      <c r="AF84" s="129"/>
      <c r="AG84" s="129"/>
      <c r="AH84" s="129"/>
      <c r="AI84" s="129"/>
      <c r="AJ84" s="147"/>
      <c r="AK84" s="147"/>
      <c r="AL84" s="118"/>
      <c r="AM84" s="118"/>
    </row>
    <row r="85" spans="2:39" ht="93.6" customHeight="1">
      <c r="B85" s="194"/>
      <c r="C85" s="194"/>
      <c r="D85" s="194"/>
      <c r="E85" s="194"/>
      <c r="F85" s="126" t="s">
        <v>258</v>
      </c>
      <c r="G85" s="123" t="s">
        <v>259</v>
      </c>
      <c r="H85" s="125" t="s">
        <v>631</v>
      </c>
      <c r="I85" s="124" t="s">
        <v>632</v>
      </c>
      <c r="J85" s="36" t="s">
        <v>7</v>
      </c>
      <c r="K85" s="36">
        <v>3</v>
      </c>
      <c r="L85" s="129">
        <v>150000000</v>
      </c>
      <c r="M85" s="146"/>
      <c r="N85" s="146"/>
      <c r="O85" s="146"/>
      <c r="P85" s="146">
        <f t="shared" si="7"/>
        <v>950000000</v>
      </c>
      <c r="Q85" s="129">
        <f>150000000+800000000</f>
        <v>950000000</v>
      </c>
      <c r="R85" s="129"/>
      <c r="S85" s="129"/>
      <c r="T85" s="129"/>
      <c r="U85" s="129"/>
      <c r="V85" s="129"/>
      <c r="W85" s="129"/>
      <c r="X85" s="129"/>
      <c r="Y85" s="129"/>
      <c r="Z85" s="129"/>
      <c r="AA85" s="129"/>
      <c r="AB85" s="129"/>
      <c r="AC85" s="129"/>
      <c r="AD85" s="129"/>
      <c r="AE85" s="129"/>
      <c r="AF85" s="129"/>
      <c r="AG85" s="129"/>
      <c r="AH85" s="129"/>
      <c r="AI85" s="129"/>
      <c r="AJ85" s="147"/>
      <c r="AK85" s="147"/>
      <c r="AL85" s="118"/>
      <c r="AM85" s="118"/>
    </row>
    <row r="86" spans="2:39" ht="162">
      <c r="B86" s="194"/>
      <c r="C86" s="194"/>
      <c r="D86" s="194"/>
      <c r="E86" s="123" t="s">
        <v>538</v>
      </c>
      <c r="F86" s="126" t="s">
        <v>260</v>
      </c>
      <c r="G86" s="123" t="s">
        <v>261</v>
      </c>
      <c r="H86" s="125" t="s">
        <v>431</v>
      </c>
      <c r="I86" s="124" t="s">
        <v>432</v>
      </c>
      <c r="J86" s="36" t="s">
        <v>7</v>
      </c>
      <c r="K86" s="73">
        <v>1</v>
      </c>
      <c r="L86" s="129">
        <v>100000000</v>
      </c>
      <c r="M86" s="146"/>
      <c r="N86" s="146"/>
      <c r="O86" s="146"/>
      <c r="P86" s="146">
        <f t="shared" si="7"/>
        <v>100000000</v>
      </c>
      <c r="Q86" s="129">
        <v>100000000</v>
      </c>
      <c r="R86" s="129"/>
      <c r="S86" s="129"/>
      <c r="T86" s="129"/>
      <c r="U86" s="129"/>
      <c r="V86" s="129"/>
      <c r="W86" s="129"/>
      <c r="X86" s="129"/>
      <c r="Y86" s="129"/>
      <c r="Z86" s="129"/>
      <c r="AA86" s="129"/>
      <c r="AB86" s="129"/>
      <c r="AC86" s="129"/>
      <c r="AD86" s="129"/>
      <c r="AE86" s="129"/>
      <c r="AF86" s="129"/>
      <c r="AG86" s="129"/>
      <c r="AH86" s="129"/>
      <c r="AI86" s="129"/>
      <c r="AJ86" s="147"/>
      <c r="AK86" s="147"/>
      <c r="AL86" s="118"/>
      <c r="AM86" s="118"/>
    </row>
    <row r="87" spans="2:39" ht="94.5" customHeight="1">
      <c r="B87" s="194"/>
      <c r="C87" s="194"/>
      <c r="D87" s="194"/>
      <c r="E87" s="194" t="s">
        <v>290</v>
      </c>
      <c r="F87" s="71" t="s">
        <v>262</v>
      </c>
      <c r="G87" s="123" t="s">
        <v>263</v>
      </c>
      <c r="H87" s="125" t="s">
        <v>433</v>
      </c>
      <c r="I87" s="124" t="s">
        <v>434</v>
      </c>
      <c r="J87" s="36" t="s">
        <v>7</v>
      </c>
      <c r="K87" s="36">
        <v>162</v>
      </c>
      <c r="L87" s="129"/>
      <c r="M87" s="146" t="s">
        <v>575</v>
      </c>
      <c r="N87" s="146"/>
      <c r="O87" s="146"/>
      <c r="P87" s="146">
        <f t="shared" si="7"/>
        <v>1000000000</v>
      </c>
      <c r="Q87" s="129">
        <v>1000000000</v>
      </c>
      <c r="R87" s="129"/>
      <c r="S87" s="129"/>
      <c r="T87" s="129"/>
      <c r="U87" s="129"/>
      <c r="V87" s="129"/>
      <c r="W87" s="129"/>
      <c r="X87" s="129"/>
      <c r="Y87" s="129"/>
      <c r="Z87" s="129"/>
      <c r="AA87" s="129"/>
      <c r="AB87" s="129"/>
      <c r="AC87" s="129"/>
      <c r="AD87" s="129"/>
      <c r="AE87" s="129"/>
      <c r="AF87" s="129"/>
      <c r="AG87" s="129"/>
      <c r="AH87" s="129"/>
      <c r="AI87" s="129"/>
      <c r="AJ87" s="147"/>
      <c r="AK87" s="147"/>
      <c r="AL87" s="118"/>
      <c r="AM87" s="118"/>
    </row>
    <row r="88" spans="2:39" ht="115.5" customHeight="1">
      <c r="B88" s="194"/>
      <c r="C88" s="194"/>
      <c r="D88" s="194"/>
      <c r="E88" s="194"/>
      <c r="F88" s="71" t="s">
        <v>264</v>
      </c>
      <c r="G88" s="123" t="s">
        <v>265</v>
      </c>
      <c r="H88" s="125" t="s">
        <v>435</v>
      </c>
      <c r="I88" s="124" t="s">
        <v>436</v>
      </c>
      <c r="J88" s="36" t="s">
        <v>7</v>
      </c>
      <c r="K88" s="36">
        <v>5</v>
      </c>
      <c r="L88" s="129">
        <v>4780000000</v>
      </c>
      <c r="M88" s="146" t="s">
        <v>617</v>
      </c>
      <c r="N88" s="146">
        <v>936152435</v>
      </c>
      <c r="O88" s="146"/>
      <c r="P88" s="146">
        <f t="shared" si="7"/>
        <v>4780000000</v>
      </c>
      <c r="Q88" s="129">
        <v>2942000000</v>
      </c>
      <c r="R88" s="129">
        <v>1200000000</v>
      </c>
      <c r="S88" s="129"/>
      <c r="T88" s="129"/>
      <c r="U88" s="129">
        <v>638000000</v>
      </c>
      <c r="V88" s="129"/>
      <c r="W88" s="129"/>
      <c r="X88" s="129"/>
      <c r="Y88" s="129"/>
      <c r="Z88" s="129"/>
      <c r="AA88" s="129"/>
      <c r="AB88" s="129"/>
      <c r="AC88" s="129"/>
      <c r="AD88" s="129"/>
      <c r="AE88" s="129"/>
      <c r="AF88" s="129"/>
      <c r="AG88" s="129"/>
      <c r="AH88" s="129"/>
      <c r="AI88" s="129"/>
      <c r="AJ88" s="147"/>
      <c r="AK88" s="147"/>
      <c r="AL88" s="118"/>
      <c r="AM88" s="118"/>
    </row>
    <row r="89" spans="2:39" ht="89.25" customHeight="1">
      <c r="B89" s="194"/>
      <c r="C89" s="194"/>
      <c r="D89" s="194"/>
      <c r="E89" s="123" t="s">
        <v>291</v>
      </c>
      <c r="F89" s="71" t="s">
        <v>266</v>
      </c>
      <c r="G89" s="123" t="s">
        <v>267</v>
      </c>
      <c r="H89" s="125" t="s">
        <v>437</v>
      </c>
      <c r="I89" s="125" t="s">
        <v>438</v>
      </c>
      <c r="J89" s="36" t="s">
        <v>7</v>
      </c>
      <c r="K89" s="36">
        <v>500</v>
      </c>
      <c r="L89" s="129">
        <v>1500000000</v>
      </c>
      <c r="M89" s="146" t="s">
        <v>578</v>
      </c>
      <c r="N89" s="146"/>
      <c r="O89" s="146"/>
      <c r="P89" s="146">
        <f t="shared" si="7"/>
        <v>500000000</v>
      </c>
      <c r="Q89" s="129">
        <v>500000000</v>
      </c>
      <c r="R89" s="129"/>
      <c r="S89" s="129"/>
      <c r="T89" s="129"/>
      <c r="U89" s="129"/>
      <c r="V89" s="129"/>
      <c r="W89" s="129"/>
      <c r="X89" s="129"/>
      <c r="Y89" s="129"/>
      <c r="Z89" s="129"/>
      <c r="AA89" s="129"/>
      <c r="AB89" s="129"/>
      <c r="AC89" s="129"/>
      <c r="AD89" s="129"/>
      <c r="AE89" s="129"/>
      <c r="AF89" s="129"/>
      <c r="AG89" s="129"/>
      <c r="AH89" s="129"/>
      <c r="AI89" s="129"/>
      <c r="AJ89" s="147"/>
      <c r="AK89" s="147"/>
      <c r="AL89" s="118"/>
      <c r="AM89" s="118"/>
    </row>
    <row r="90" spans="2:39" ht="72">
      <c r="B90" s="194"/>
      <c r="C90" s="194"/>
      <c r="D90" s="194"/>
      <c r="E90" s="194" t="s">
        <v>292</v>
      </c>
      <c r="F90" s="71" t="s">
        <v>268</v>
      </c>
      <c r="G90" s="123" t="s">
        <v>21</v>
      </c>
      <c r="H90" s="125" t="s">
        <v>439</v>
      </c>
      <c r="I90" s="124" t="s">
        <v>440</v>
      </c>
      <c r="J90" s="36" t="s">
        <v>7</v>
      </c>
      <c r="K90" s="73">
        <v>1</v>
      </c>
      <c r="L90" s="129">
        <v>800000000</v>
      </c>
      <c r="M90" s="146" t="s">
        <v>576</v>
      </c>
      <c r="N90" s="146"/>
      <c r="O90" s="146"/>
      <c r="P90" s="146">
        <f t="shared" si="7"/>
        <v>800000000</v>
      </c>
      <c r="Q90" s="129"/>
      <c r="R90" s="129"/>
      <c r="S90" s="129">
        <v>295855455.67000002</v>
      </c>
      <c r="T90" s="129"/>
      <c r="U90" s="129"/>
      <c r="V90" s="129"/>
      <c r="W90" s="129"/>
      <c r="X90" s="129"/>
      <c r="Y90" s="129"/>
      <c r="Z90" s="129"/>
      <c r="AA90" s="129"/>
      <c r="AB90" s="129"/>
      <c r="AC90" s="129"/>
      <c r="AD90" s="129"/>
      <c r="AE90" s="129">
        <v>304580044.32999998</v>
      </c>
      <c r="AF90" s="129">
        <v>199564500</v>
      </c>
      <c r="AG90" s="129"/>
      <c r="AH90" s="129"/>
      <c r="AI90" s="129"/>
      <c r="AJ90" s="147"/>
      <c r="AK90" s="147"/>
      <c r="AL90" s="118"/>
      <c r="AM90" s="118"/>
    </row>
    <row r="91" spans="2:39" ht="180">
      <c r="B91" s="194"/>
      <c r="C91" s="194"/>
      <c r="D91" s="194"/>
      <c r="E91" s="194"/>
      <c r="F91" s="71" t="s">
        <v>269</v>
      </c>
      <c r="G91" s="123" t="s">
        <v>133</v>
      </c>
      <c r="H91" s="123" t="s">
        <v>441</v>
      </c>
      <c r="I91" s="123" t="s">
        <v>442</v>
      </c>
      <c r="J91" s="36" t="s">
        <v>7</v>
      </c>
      <c r="K91" s="73">
        <v>1</v>
      </c>
      <c r="L91" s="129">
        <v>3493000000</v>
      </c>
      <c r="M91" s="146" t="s">
        <v>630</v>
      </c>
      <c r="N91" s="146"/>
      <c r="O91" s="146"/>
      <c r="P91" s="146">
        <f t="shared" si="7"/>
        <v>3493000000</v>
      </c>
      <c r="Q91" s="129">
        <v>1331653200</v>
      </c>
      <c r="R91" s="129"/>
      <c r="S91" s="129">
        <v>200000000</v>
      </c>
      <c r="T91" s="129"/>
      <c r="U91" s="129"/>
      <c r="V91" s="129"/>
      <c r="W91" s="129"/>
      <c r="X91" s="129"/>
      <c r="Y91" s="129"/>
      <c r="Z91" s="129"/>
      <c r="AA91" s="129"/>
      <c r="AB91" s="129"/>
      <c r="AC91" s="129"/>
      <c r="AD91" s="129"/>
      <c r="AE91" s="129"/>
      <c r="AF91" s="129"/>
      <c r="AG91" s="129">
        <v>998103200</v>
      </c>
      <c r="AH91" s="129">
        <v>963243600</v>
      </c>
      <c r="AI91" s="129"/>
      <c r="AJ91" s="147"/>
      <c r="AK91" s="147"/>
      <c r="AL91" s="118"/>
      <c r="AM91" s="118"/>
    </row>
    <row r="92" spans="2:39" ht="72">
      <c r="B92" s="194"/>
      <c r="C92" s="194"/>
      <c r="D92" s="194"/>
      <c r="E92" s="194"/>
      <c r="F92" s="71" t="s">
        <v>270</v>
      </c>
      <c r="G92" s="123" t="s">
        <v>22</v>
      </c>
      <c r="H92" s="125" t="s">
        <v>443</v>
      </c>
      <c r="I92" s="124" t="s">
        <v>444</v>
      </c>
      <c r="J92" s="36" t="s">
        <v>15</v>
      </c>
      <c r="K92" s="73">
        <v>0.62</v>
      </c>
      <c r="L92" s="129">
        <v>1700000000</v>
      </c>
      <c r="M92" s="146" t="s">
        <v>576</v>
      </c>
      <c r="N92" s="146"/>
      <c r="O92" s="146"/>
      <c r="P92" s="146">
        <f t="shared" si="7"/>
        <v>1700000000</v>
      </c>
      <c r="Q92" s="129">
        <v>257824044.32999992</v>
      </c>
      <c r="R92" s="129"/>
      <c r="S92" s="129"/>
      <c r="T92" s="129"/>
      <c r="U92" s="129"/>
      <c r="V92" s="129"/>
      <c r="W92" s="129"/>
      <c r="X92" s="129"/>
      <c r="Y92" s="129"/>
      <c r="Z92" s="129"/>
      <c r="AA92" s="129"/>
      <c r="AB92" s="129"/>
      <c r="AC92" s="129"/>
      <c r="AD92" s="129">
        <v>396756000</v>
      </c>
      <c r="AE92" s="129">
        <v>1045419955.6700001</v>
      </c>
      <c r="AF92" s="129"/>
      <c r="AG92" s="129"/>
      <c r="AH92" s="129"/>
      <c r="AI92" s="129"/>
      <c r="AJ92" s="147"/>
      <c r="AK92" s="147"/>
      <c r="AL92" s="118"/>
      <c r="AM92" s="118"/>
    </row>
    <row r="93" spans="2:39" ht="108">
      <c r="B93" s="194"/>
      <c r="C93" s="194"/>
      <c r="D93" s="194"/>
      <c r="E93" s="194"/>
      <c r="F93" s="71" t="s">
        <v>271</v>
      </c>
      <c r="G93" s="123" t="s">
        <v>134</v>
      </c>
      <c r="H93" s="125" t="s">
        <v>445</v>
      </c>
      <c r="I93" s="124" t="s">
        <v>446</v>
      </c>
      <c r="J93" s="36" t="s">
        <v>7</v>
      </c>
      <c r="K93" s="73">
        <v>1</v>
      </c>
      <c r="L93" s="129">
        <v>300000000</v>
      </c>
      <c r="M93" s="146" t="s">
        <v>576</v>
      </c>
      <c r="N93" s="146"/>
      <c r="O93" s="146"/>
      <c r="P93" s="146">
        <f t="shared" si="7"/>
        <v>300000000</v>
      </c>
      <c r="Q93" s="129">
        <v>284722500</v>
      </c>
      <c r="R93" s="129"/>
      <c r="S93" s="129"/>
      <c r="T93" s="129"/>
      <c r="U93" s="129"/>
      <c r="V93" s="129"/>
      <c r="W93" s="129"/>
      <c r="X93" s="129"/>
      <c r="Y93" s="129"/>
      <c r="Z93" s="129"/>
      <c r="AA93" s="129"/>
      <c r="AB93" s="129"/>
      <c r="AC93" s="129"/>
      <c r="AD93" s="129"/>
      <c r="AE93" s="129"/>
      <c r="AF93" s="129"/>
      <c r="AG93" s="129"/>
      <c r="AH93" s="129"/>
      <c r="AI93" s="129"/>
      <c r="AJ93" s="144">
        <v>8527500</v>
      </c>
      <c r="AK93" s="144">
        <v>6750000</v>
      </c>
      <c r="AL93" s="118"/>
      <c r="AM93" s="118"/>
    </row>
    <row r="94" spans="2:39" ht="28.5" customHeight="1">
      <c r="B94" s="160"/>
      <c r="C94" s="160"/>
      <c r="D94" s="160"/>
      <c r="E94" s="169"/>
      <c r="F94" s="159"/>
      <c r="G94" s="160"/>
      <c r="H94" s="161" t="s">
        <v>107</v>
      </c>
      <c r="I94" s="162"/>
      <c r="J94" s="160"/>
      <c r="K94" s="160"/>
      <c r="L94" s="170">
        <f>SUM(L79:L93)</f>
        <v>16761090316.9</v>
      </c>
      <c r="M94" s="170">
        <f>SUM(M79:M93)</f>
        <v>0</v>
      </c>
      <c r="N94" s="170"/>
      <c r="O94" s="170"/>
      <c r="P94" s="150">
        <f>SUM(P79:P93)</f>
        <v>17561090316.900002</v>
      </c>
      <c r="Q94" s="170"/>
      <c r="R94" s="170"/>
      <c r="S94" s="170"/>
      <c r="T94" s="170"/>
      <c r="U94" s="170"/>
      <c r="V94" s="170"/>
      <c r="W94" s="170"/>
      <c r="X94" s="170"/>
      <c r="Y94" s="170"/>
      <c r="Z94" s="170"/>
      <c r="AA94" s="170"/>
      <c r="AB94" s="170"/>
      <c r="AC94" s="170"/>
      <c r="AD94" s="170"/>
      <c r="AE94" s="170"/>
      <c r="AF94" s="170"/>
      <c r="AG94" s="170"/>
      <c r="AH94" s="170"/>
      <c r="AI94" s="170"/>
      <c r="AJ94" s="172"/>
      <c r="AK94" s="172"/>
      <c r="AL94" s="118"/>
      <c r="AM94" s="118"/>
    </row>
    <row r="95" spans="2:39">
      <c r="AJ95" s="120"/>
      <c r="AK95" s="120"/>
      <c r="AL95" s="118"/>
      <c r="AM95" s="118"/>
    </row>
    <row r="96" spans="2:39" ht="23.25">
      <c r="D96" s="53" t="s">
        <v>145</v>
      </c>
      <c r="L96" s="117" t="e">
        <f>+L24+#REF!+L55+L65+L72+#REF!+L94</f>
        <v>#REF!</v>
      </c>
      <c r="M96" s="188" t="s">
        <v>635</v>
      </c>
      <c r="N96" s="188"/>
      <c r="O96" s="188"/>
      <c r="P96" s="188">
        <f>+P24+P48+P55+P65+P72+P77+P94</f>
        <v>43317493664.339996</v>
      </c>
      <c r="AJ96" s="120"/>
      <c r="AK96" s="120"/>
      <c r="AL96" s="118"/>
      <c r="AM96" s="118"/>
    </row>
    <row r="97" spans="12:39">
      <c r="L97" s="56" t="e">
        <f>+L96-#REF!</f>
        <v>#REF!</v>
      </c>
      <c r="AJ97" s="120"/>
      <c r="AK97" s="120"/>
      <c r="AL97" s="118"/>
      <c r="AM97" s="118"/>
    </row>
    <row r="98" spans="12:39">
      <c r="AJ98" s="120"/>
      <c r="AK98" s="120"/>
      <c r="AL98" s="118"/>
      <c r="AM98" s="118"/>
    </row>
    <row r="99" spans="12:39">
      <c r="M99" s="56"/>
      <c r="N99" s="56"/>
      <c r="O99" s="56"/>
      <c r="P99" s="56"/>
    </row>
  </sheetData>
  <autoFilter ref="B4:AK97" xr:uid="{00000000-0009-0000-0000-000000000000}"/>
  <mergeCells count="56">
    <mergeCell ref="E8:E10"/>
    <mergeCell ref="G2:AK2"/>
    <mergeCell ref="G3:AK3"/>
    <mergeCell ref="B8:B23"/>
    <mergeCell ref="D8:D23"/>
    <mergeCell ref="C8:C23"/>
    <mergeCell ref="B26:B47"/>
    <mergeCell ref="C26:C47"/>
    <mergeCell ref="G27:G28"/>
    <mergeCell ref="F16:F17"/>
    <mergeCell ref="G16:G17"/>
    <mergeCell ref="F21:F22"/>
    <mergeCell ref="G21:G22"/>
    <mergeCell ref="E44:E47"/>
    <mergeCell ref="E11:E20"/>
    <mergeCell ref="E21:E23"/>
    <mergeCell ref="F27:F28"/>
    <mergeCell ref="E26:E43"/>
    <mergeCell ref="F41:F42"/>
    <mergeCell ref="G41:G42"/>
    <mergeCell ref="F29:F30"/>
    <mergeCell ref="G29:G30"/>
    <mergeCell ref="F32:F33"/>
    <mergeCell ref="G32:G33"/>
    <mergeCell ref="C50:C54"/>
    <mergeCell ref="F52:F53"/>
    <mergeCell ref="G52:G53"/>
    <mergeCell ref="D26:D47"/>
    <mergeCell ref="B67:B71"/>
    <mergeCell ref="E67:E71"/>
    <mergeCell ref="B57:B64"/>
    <mergeCell ref="E62:E64"/>
    <mergeCell ref="D57:D64"/>
    <mergeCell ref="C57:C64"/>
    <mergeCell ref="E58:E60"/>
    <mergeCell ref="F58:F60"/>
    <mergeCell ref="G58:G60"/>
    <mergeCell ref="F62:F63"/>
    <mergeCell ref="G62:G63"/>
    <mergeCell ref="E50:E54"/>
    <mergeCell ref="G75:G76"/>
    <mergeCell ref="B50:B54"/>
    <mergeCell ref="B79:B93"/>
    <mergeCell ref="C79:C93"/>
    <mergeCell ref="E79:E81"/>
    <mergeCell ref="E83:E85"/>
    <mergeCell ref="E87:E88"/>
    <mergeCell ref="E90:E93"/>
    <mergeCell ref="D79:D93"/>
    <mergeCell ref="B74:B76"/>
    <mergeCell ref="C74:C76"/>
    <mergeCell ref="D74:D76"/>
    <mergeCell ref="C67:C71"/>
    <mergeCell ref="E75:E76"/>
    <mergeCell ref="D67:D71"/>
    <mergeCell ref="D50:D54"/>
  </mergeCells>
  <pageMargins left="0.7" right="0.7" top="0.75" bottom="0.75" header="0.3" footer="0.3"/>
  <pageSetup paperSize="9" orientation="portrait" r:id="rId1"/>
  <ignoredErrors>
    <ignoredError sqref="P24 P55 P77"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X5"/>
  <sheetViews>
    <sheetView topLeftCell="M1" workbookViewId="0">
      <selection activeCell="Q9" sqref="Q9"/>
    </sheetView>
  </sheetViews>
  <sheetFormatPr baseColWidth="10" defaultRowHeight="15.75"/>
  <cols>
    <col min="3" max="3" width="24.5" customWidth="1"/>
    <col min="4" max="4" width="16.125" customWidth="1"/>
    <col min="5" max="5" width="35.125" customWidth="1"/>
    <col min="6" max="6" width="25.375" customWidth="1"/>
    <col min="7" max="7" width="17.5" customWidth="1"/>
    <col min="8" max="8" width="29.375" customWidth="1"/>
    <col min="9" max="9" width="16.625" customWidth="1"/>
    <col min="10" max="10" width="28.5" customWidth="1"/>
    <col min="11" max="11" width="17.875" customWidth="1"/>
    <col min="15" max="15" width="16" customWidth="1"/>
    <col min="16" max="16" width="15.5" customWidth="1"/>
    <col min="17" max="17" width="23" customWidth="1"/>
    <col min="18" max="18" width="25" customWidth="1"/>
    <col min="22" max="22" width="27" customWidth="1"/>
    <col min="23" max="23" width="41.625" customWidth="1"/>
    <col min="24" max="24" width="20.375" customWidth="1"/>
  </cols>
  <sheetData>
    <row r="4" spans="3:24" ht="54">
      <c r="C4" s="21" t="s">
        <v>112</v>
      </c>
      <c r="D4" s="21" t="s">
        <v>3</v>
      </c>
      <c r="E4" s="21" t="s">
        <v>2</v>
      </c>
      <c r="F4" s="34" t="s">
        <v>1</v>
      </c>
      <c r="G4" s="33" t="s">
        <v>102</v>
      </c>
      <c r="H4" s="34" t="s">
        <v>106</v>
      </c>
      <c r="I4" s="35" t="s">
        <v>30</v>
      </c>
      <c r="J4" s="23" t="s">
        <v>6</v>
      </c>
      <c r="K4" s="21" t="s">
        <v>23</v>
      </c>
      <c r="L4" s="21">
        <v>2024</v>
      </c>
      <c r="M4" s="21">
        <v>2025</v>
      </c>
      <c r="N4" s="21">
        <v>2026</v>
      </c>
      <c r="O4" s="21">
        <v>2027</v>
      </c>
      <c r="P4" s="23" t="s">
        <v>32</v>
      </c>
      <c r="Q4" s="34" t="s">
        <v>5</v>
      </c>
      <c r="R4" s="21">
        <v>2024</v>
      </c>
      <c r="S4" s="21">
        <v>2025</v>
      </c>
      <c r="T4" s="21">
        <v>2026</v>
      </c>
      <c r="U4" s="21">
        <v>2027</v>
      </c>
      <c r="V4" s="29" t="s">
        <v>58</v>
      </c>
      <c r="W4" s="24" t="s">
        <v>8</v>
      </c>
      <c r="X4" s="22" t="s">
        <v>24</v>
      </c>
    </row>
    <row r="5" spans="3:24" ht="72">
      <c r="C5" s="27" t="s">
        <v>113</v>
      </c>
      <c r="D5" s="31" t="s">
        <v>19</v>
      </c>
      <c r="E5" s="27" t="s">
        <v>20</v>
      </c>
      <c r="F5" s="32" t="s">
        <v>31</v>
      </c>
      <c r="G5" s="26"/>
      <c r="H5" s="1" t="s">
        <v>108</v>
      </c>
      <c r="I5" s="25" t="s">
        <v>109</v>
      </c>
      <c r="J5" s="26" t="s">
        <v>7</v>
      </c>
      <c r="K5" s="26">
        <v>1</v>
      </c>
      <c r="L5" s="26">
        <v>1</v>
      </c>
      <c r="M5" s="26">
        <v>1</v>
      </c>
      <c r="N5" s="26">
        <v>1</v>
      </c>
      <c r="O5" s="26">
        <v>1</v>
      </c>
      <c r="P5" s="26">
        <v>1</v>
      </c>
      <c r="Q5" s="27" t="s">
        <v>111</v>
      </c>
      <c r="R5" s="30">
        <v>680000000</v>
      </c>
      <c r="S5" s="26"/>
      <c r="T5" s="26"/>
      <c r="U5" s="26"/>
      <c r="V5" s="26" t="s">
        <v>59</v>
      </c>
      <c r="W5" s="1" t="s">
        <v>110</v>
      </c>
      <c r="X5" s="28"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H33"/>
  <sheetViews>
    <sheetView topLeftCell="B10" workbookViewId="0">
      <selection activeCell="G12" sqref="G12:G15"/>
    </sheetView>
  </sheetViews>
  <sheetFormatPr baseColWidth="10" defaultRowHeight="15.75"/>
  <cols>
    <col min="2" max="2" width="25.375" customWidth="1"/>
    <col min="3" max="3" width="62.875" customWidth="1"/>
    <col min="4" max="4" width="35.625" customWidth="1"/>
    <col min="5" max="5" width="22.875" customWidth="1"/>
    <col min="6" max="6" width="22.5" customWidth="1"/>
    <col min="7" max="7" width="45.875" customWidth="1"/>
    <col min="8" max="8" width="59" customWidth="1"/>
  </cols>
  <sheetData>
    <row r="6" spans="2:8">
      <c r="D6" s="9" t="s">
        <v>61</v>
      </c>
    </row>
    <row r="7" spans="2:8">
      <c r="D7" s="9" t="s">
        <v>62</v>
      </c>
    </row>
    <row r="8" spans="2:8">
      <c r="D8" s="9" t="s">
        <v>63</v>
      </c>
    </row>
    <row r="9" spans="2:8" ht="16.5" thickBot="1"/>
    <row r="10" spans="2:8" ht="15.95" customHeight="1">
      <c r="B10" s="208" t="s">
        <v>64</v>
      </c>
      <c r="C10" s="208" t="s">
        <v>65</v>
      </c>
      <c r="D10" s="208" t="s">
        <v>66</v>
      </c>
      <c r="E10" s="208" t="s">
        <v>67</v>
      </c>
      <c r="F10" s="208" t="s">
        <v>68</v>
      </c>
      <c r="G10" s="208" t="s">
        <v>69</v>
      </c>
      <c r="H10" s="10"/>
    </row>
    <row r="11" spans="2:8" ht="21" thickBot="1">
      <c r="B11" s="209"/>
      <c r="C11" s="209"/>
      <c r="D11" s="209"/>
      <c r="E11" s="209"/>
      <c r="F11" s="209"/>
      <c r="G11" s="209"/>
      <c r="H11" s="11" t="s">
        <v>70</v>
      </c>
    </row>
    <row r="12" spans="2:8" ht="167.1" customHeight="1">
      <c r="B12" s="205">
        <v>3202043</v>
      </c>
      <c r="C12" s="12" t="s">
        <v>71</v>
      </c>
      <c r="D12" s="205" t="s">
        <v>72</v>
      </c>
      <c r="E12" s="205">
        <v>4408.97</v>
      </c>
      <c r="F12" s="205" t="s">
        <v>73</v>
      </c>
      <c r="G12" s="205" t="s">
        <v>74</v>
      </c>
      <c r="H12" s="13"/>
    </row>
    <row r="13" spans="2:8" ht="40.5">
      <c r="B13" s="207"/>
      <c r="C13" s="14" t="s">
        <v>100</v>
      </c>
      <c r="D13" s="207"/>
      <c r="E13" s="207"/>
      <c r="F13" s="207"/>
      <c r="G13" s="207"/>
      <c r="H13" s="13"/>
    </row>
    <row r="14" spans="2:8" ht="21">
      <c r="B14" s="207"/>
      <c r="C14" s="15"/>
      <c r="D14" s="207"/>
      <c r="E14" s="207"/>
      <c r="F14" s="207"/>
      <c r="G14" s="207"/>
      <c r="H14" s="13"/>
    </row>
    <row r="15" spans="2:8" ht="141" customHeight="1" thickBot="1">
      <c r="B15" s="206"/>
      <c r="C15" s="17"/>
      <c r="D15" s="206"/>
      <c r="E15" s="206"/>
      <c r="F15" s="206"/>
      <c r="G15" s="206"/>
      <c r="H15" s="18" t="s">
        <v>75</v>
      </c>
    </row>
    <row r="16" spans="2:8" ht="60.75">
      <c r="B16" s="205">
        <v>3202047</v>
      </c>
      <c r="C16" s="12" t="s">
        <v>76</v>
      </c>
      <c r="D16" s="205" t="s">
        <v>78</v>
      </c>
      <c r="E16" s="205">
        <v>3587</v>
      </c>
      <c r="F16" s="205" t="s">
        <v>79</v>
      </c>
      <c r="G16" s="205" t="s">
        <v>74</v>
      </c>
      <c r="H16" s="13"/>
    </row>
    <row r="17" spans="2:8" ht="20.25">
      <c r="B17" s="207"/>
      <c r="C17" s="12" t="s">
        <v>77</v>
      </c>
      <c r="D17" s="207"/>
      <c r="E17" s="207"/>
      <c r="F17" s="207"/>
      <c r="G17" s="207"/>
      <c r="H17" s="13"/>
    </row>
    <row r="18" spans="2:8" ht="21.75" thickBot="1">
      <c r="B18" s="206"/>
      <c r="C18" s="17"/>
      <c r="D18" s="206"/>
      <c r="E18" s="206"/>
      <c r="F18" s="206"/>
      <c r="G18" s="206"/>
      <c r="H18" s="18" t="s">
        <v>75</v>
      </c>
    </row>
    <row r="19" spans="2:8" ht="41.25" thickBot="1">
      <c r="B19" s="16">
        <v>3204012</v>
      </c>
      <c r="C19" s="18" t="s">
        <v>80</v>
      </c>
      <c r="D19" s="18" t="s">
        <v>81</v>
      </c>
      <c r="E19" s="18">
        <v>11</v>
      </c>
      <c r="F19" s="18" t="s">
        <v>82</v>
      </c>
      <c r="G19" s="18" t="s">
        <v>74</v>
      </c>
      <c r="H19" s="18" t="s">
        <v>75</v>
      </c>
    </row>
    <row r="20" spans="2:8" ht="40.5">
      <c r="B20" s="205">
        <v>3204049</v>
      </c>
      <c r="C20" s="12" t="s">
        <v>83</v>
      </c>
      <c r="D20" s="205" t="s">
        <v>85</v>
      </c>
      <c r="E20" s="205">
        <v>29</v>
      </c>
      <c r="F20" s="205" t="s">
        <v>86</v>
      </c>
      <c r="G20" s="205" t="s">
        <v>74</v>
      </c>
      <c r="H20" s="13"/>
    </row>
    <row r="21" spans="2:8" ht="20.25">
      <c r="B21" s="207"/>
      <c r="C21" s="12" t="s">
        <v>84</v>
      </c>
      <c r="D21" s="207"/>
      <c r="E21" s="207"/>
      <c r="F21" s="207"/>
      <c r="G21" s="207"/>
      <c r="H21" s="13"/>
    </row>
    <row r="22" spans="2:8" ht="21.75" thickBot="1">
      <c r="B22" s="206"/>
      <c r="C22" s="17"/>
      <c r="D22" s="206"/>
      <c r="E22" s="206"/>
      <c r="F22" s="206"/>
      <c r="G22" s="206"/>
      <c r="H22" s="18" t="s">
        <v>75</v>
      </c>
    </row>
    <row r="23" spans="2:8" ht="60.75">
      <c r="B23" s="205">
        <v>3206004</v>
      </c>
      <c r="C23" s="12" t="s">
        <v>87</v>
      </c>
      <c r="D23" s="205" t="s">
        <v>89</v>
      </c>
      <c r="E23" s="205">
        <v>3800</v>
      </c>
      <c r="F23" s="205">
        <v>4000</v>
      </c>
      <c r="G23" s="205" t="s">
        <v>74</v>
      </c>
      <c r="H23" s="13"/>
    </row>
    <row r="24" spans="2:8" ht="40.5">
      <c r="B24" s="207"/>
      <c r="C24" s="12" t="s">
        <v>88</v>
      </c>
      <c r="D24" s="207"/>
      <c r="E24" s="207"/>
      <c r="F24" s="207"/>
      <c r="G24" s="207"/>
      <c r="H24" s="13"/>
    </row>
    <row r="25" spans="2:8" ht="21.75" thickBot="1">
      <c r="B25" s="206"/>
      <c r="C25" s="17"/>
      <c r="D25" s="206"/>
      <c r="E25" s="206"/>
      <c r="F25" s="206"/>
      <c r="G25" s="206"/>
      <c r="H25" s="18" t="s">
        <v>90</v>
      </c>
    </row>
    <row r="26" spans="2:8" ht="20.25">
      <c r="B26" s="205">
        <v>3202005</v>
      </c>
      <c r="C26" s="205" t="s">
        <v>91</v>
      </c>
      <c r="D26" s="205" t="s">
        <v>92</v>
      </c>
      <c r="E26" s="205">
        <v>2601.4899999999998</v>
      </c>
      <c r="F26" s="205">
        <v>1200</v>
      </c>
      <c r="G26" s="205" t="s">
        <v>74</v>
      </c>
      <c r="H26" s="13"/>
    </row>
    <row r="27" spans="2:8" ht="21" thickBot="1">
      <c r="B27" s="206"/>
      <c r="C27" s="206"/>
      <c r="D27" s="206"/>
      <c r="E27" s="206"/>
      <c r="F27" s="206"/>
      <c r="G27" s="206"/>
      <c r="H27" s="18" t="s">
        <v>75</v>
      </c>
    </row>
    <row r="28" spans="2:8" ht="18.95" customHeight="1">
      <c r="B28" s="203">
        <v>3202037</v>
      </c>
      <c r="C28" s="203" t="s">
        <v>93</v>
      </c>
      <c r="D28" s="203" t="s">
        <v>94</v>
      </c>
      <c r="E28" s="203">
        <v>8</v>
      </c>
      <c r="F28" s="203">
        <v>10</v>
      </c>
      <c r="G28" s="203" t="s">
        <v>74</v>
      </c>
      <c r="H28" s="19"/>
    </row>
    <row r="29" spans="2:8" ht="21" thickBot="1">
      <c r="B29" s="204"/>
      <c r="C29" s="204"/>
      <c r="D29" s="204"/>
      <c r="E29" s="204"/>
      <c r="F29" s="204"/>
      <c r="G29" s="204"/>
      <c r="H29" s="20" t="s">
        <v>95</v>
      </c>
    </row>
    <row r="30" spans="2:8" ht="30" customHeight="1">
      <c r="B30" s="203">
        <v>3204056</v>
      </c>
      <c r="C30" s="203" t="s">
        <v>96</v>
      </c>
      <c r="D30" s="203" t="s">
        <v>97</v>
      </c>
      <c r="E30" s="203">
        <v>0</v>
      </c>
      <c r="F30" s="203">
        <v>1</v>
      </c>
      <c r="G30" s="203" t="s">
        <v>74</v>
      </c>
      <c r="H30" s="19"/>
    </row>
    <row r="31" spans="2:8" ht="21" thickBot="1">
      <c r="B31" s="204"/>
      <c r="C31" s="204"/>
      <c r="D31" s="204"/>
      <c r="E31" s="204"/>
      <c r="F31" s="204"/>
      <c r="G31" s="204"/>
      <c r="H31" s="20" t="s">
        <v>90</v>
      </c>
    </row>
    <row r="32" spans="2:8" ht="51" customHeight="1">
      <c r="B32" s="203">
        <v>3208007</v>
      </c>
      <c r="C32" s="203" t="s">
        <v>98</v>
      </c>
      <c r="D32" s="203" t="s">
        <v>99</v>
      </c>
      <c r="E32" s="203">
        <v>5</v>
      </c>
      <c r="F32" s="203">
        <v>5</v>
      </c>
      <c r="G32" s="203" t="s">
        <v>74</v>
      </c>
      <c r="H32" s="19"/>
    </row>
    <row r="33" spans="2:8" ht="21" thickBot="1">
      <c r="B33" s="204"/>
      <c r="C33" s="204"/>
      <c r="D33" s="204"/>
      <c r="E33" s="204"/>
      <c r="F33" s="204"/>
      <c r="G33" s="204"/>
      <c r="H33" s="20" t="s">
        <v>75</v>
      </c>
    </row>
  </sheetData>
  <mergeCells count="50">
    <mergeCell ref="G10:G11"/>
    <mergeCell ref="B10:B11"/>
    <mergeCell ref="C10:C11"/>
    <mergeCell ref="D10:D11"/>
    <mergeCell ref="E10:E11"/>
    <mergeCell ref="F10:F11"/>
    <mergeCell ref="B16:B18"/>
    <mergeCell ref="D16:D18"/>
    <mergeCell ref="E16:E18"/>
    <mergeCell ref="F16:F18"/>
    <mergeCell ref="G16:G18"/>
    <mergeCell ref="B12:B15"/>
    <mergeCell ref="D12:D15"/>
    <mergeCell ref="E12:E15"/>
    <mergeCell ref="F12:F15"/>
    <mergeCell ref="G12:G15"/>
    <mergeCell ref="B23:B25"/>
    <mergeCell ref="D23:D25"/>
    <mergeCell ref="E23:E25"/>
    <mergeCell ref="F23:F25"/>
    <mergeCell ref="G23:G25"/>
    <mergeCell ref="B20:B22"/>
    <mergeCell ref="D20:D22"/>
    <mergeCell ref="E20:E22"/>
    <mergeCell ref="F20:F22"/>
    <mergeCell ref="G20:G22"/>
    <mergeCell ref="G28:G29"/>
    <mergeCell ref="B26:B27"/>
    <mergeCell ref="C26:C27"/>
    <mergeCell ref="D26:D27"/>
    <mergeCell ref="E26:E27"/>
    <mergeCell ref="F26:F27"/>
    <mergeCell ref="G26:G27"/>
    <mergeCell ref="B28:B29"/>
    <mergeCell ref="C28:C29"/>
    <mergeCell ref="D28:D29"/>
    <mergeCell ref="E28:E29"/>
    <mergeCell ref="F28:F29"/>
    <mergeCell ref="G32:G33"/>
    <mergeCell ref="B30:B31"/>
    <mergeCell ref="C30:C31"/>
    <mergeCell ref="D30:D31"/>
    <mergeCell ref="E30:E31"/>
    <mergeCell ref="F30:F31"/>
    <mergeCell ref="G30:G31"/>
    <mergeCell ref="B32:B33"/>
    <mergeCell ref="C32:C33"/>
    <mergeCell ref="D32:D33"/>
    <mergeCell ref="E32:E33"/>
    <mergeCell ref="F32:F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O15"/>
  <sheetViews>
    <sheetView topLeftCell="K9" zoomScale="179" zoomScaleNormal="179" workbookViewId="0">
      <selection activeCell="N12" sqref="N12"/>
    </sheetView>
  </sheetViews>
  <sheetFormatPr baseColWidth="10" defaultRowHeight="15.75"/>
  <cols>
    <col min="2" max="2" width="12.875" customWidth="1"/>
    <col min="3" max="3" width="14.5" customWidth="1"/>
    <col min="4" max="4" width="23.875" customWidth="1"/>
    <col min="5" max="5" width="20.125" customWidth="1"/>
    <col min="6" max="6" width="12.125" bestFit="1" customWidth="1"/>
    <col min="10" max="10" width="14.875" customWidth="1"/>
    <col min="11" max="11" width="16.875" customWidth="1"/>
    <col min="12" max="13" width="12.125" bestFit="1" customWidth="1"/>
    <col min="14" max="14" width="20.125" customWidth="1"/>
    <col min="15" max="15" width="17.875" customWidth="1"/>
  </cols>
  <sheetData>
    <row r="4" spans="2:15">
      <c r="C4" t="s">
        <v>43</v>
      </c>
    </row>
    <row r="5" spans="2:15">
      <c r="B5" s="3"/>
      <c r="C5" s="3" t="s">
        <v>42</v>
      </c>
      <c r="D5" s="3" t="s">
        <v>40</v>
      </c>
      <c r="E5" s="3" t="s">
        <v>41</v>
      </c>
      <c r="F5" s="8" t="s">
        <v>46</v>
      </c>
      <c r="G5" s="3" t="s">
        <v>47</v>
      </c>
      <c r="H5" s="3" t="s">
        <v>48</v>
      </c>
      <c r="I5" s="3" t="s">
        <v>49</v>
      </c>
      <c r="J5" s="3" t="s">
        <v>46</v>
      </c>
      <c r="K5" s="3" t="s">
        <v>47</v>
      </c>
      <c r="L5" s="3" t="s">
        <v>48</v>
      </c>
      <c r="M5" s="3" t="s">
        <v>49</v>
      </c>
    </row>
    <row r="6" spans="2:15">
      <c r="B6" s="3" t="s">
        <v>121</v>
      </c>
      <c r="C6" s="3">
        <v>50</v>
      </c>
      <c r="D6" s="4">
        <v>1700000</v>
      </c>
      <c r="E6" s="4">
        <f>C6*D6</f>
        <v>85000000</v>
      </c>
      <c r="F6" s="3">
        <v>1</v>
      </c>
      <c r="G6" s="3">
        <v>2</v>
      </c>
      <c r="H6" s="3">
        <v>2</v>
      </c>
      <c r="I6" s="3">
        <v>2</v>
      </c>
      <c r="J6" s="4">
        <f>E6*F6</f>
        <v>85000000</v>
      </c>
      <c r="K6" s="4">
        <f>(E6*G6)</f>
        <v>170000000</v>
      </c>
      <c r="L6" s="4">
        <f>E6*H6</f>
        <v>170000000</v>
      </c>
      <c r="M6" s="4">
        <f>E6*I6</f>
        <v>170000000</v>
      </c>
    </row>
    <row r="7" spans="2:15">
      <c r="B7" s="3" t="s">
        <v>36</v>
      </c>
      <c r="C7" s="3">
        <v>12</v>
      </c>
      <c r="D7" s="4">
        <v>7500000</v>
      </c>
      <c r="E7" s="4">
        <f t="shared" ref="E7:E12" si="0">C7*D7</f>
        <v>90000000</v>
      </c>
      <c r="F7" s="3">
        <v>1</v>
      </c>
      <c r="G7" s="3">
        <v>1</v>
      </c>
      <c r="H7" s="3">
        <v>1</v>
      </c>
      <c r="I7" s="3">
        <v>1</v>
      </c>
      <c r="J7" s="4">
        <f t="shared" ref="J7:J12" si="1">E7*F7</f>
        <v>90000000</v>
      </c>
      <c r="K7" s="4">
        <f t="shared" ref="K7:K12" si="2">(E7*G7)</f>
        <v>90000000</v>
      </c>
      <c r="L7" s="4">
        <f t="shared" ref="L7:L12" si="3">E7*H7</f>
        <v>90000000</v>
      </c>
      <c r="M7" s="4">
        <f t="shared" ref="M7:M12" si="4">E7*I7</f>
        <v>90000000</v>
      </c>
    </row>
    <row r="8" spans="2:15" ht="47.25">
      <c r="B8" s="8" t="s">
        <v>37</v>
      </c>
      <c r="C8" s="3">
        <v>10</v>
      </c>
      <c r="D8" s="4">
        <v>1700000</v>
      </c>
      <c r="E8" s="4">
        <f t="shared" si="0"/>
        <v>17000000</v>
      </c>
      <c r="F8" s="3">
        <v>1</v>
      </c>
      <c r="G8" s="3">
        <v>2</v>
      </c>
      <c r="H8" s="3">
        <v>2</v>
      </c>
      <c r="I8" s="3">
        <v>2</v>
      </c>
      <c r="J8" s="4">
        <f t="shared" si="1"/>
        <v>17000000</v>
      </c>
      <c r="K8" s="4">
        <f t="shared" si="2"/>
        <v>34000000</v>
      </c>
      <c r="L8" s="4">
        <f t="shared" si="3"/>
        <v>34000000</v>
      </c>
      <c r="M8" s="4">
        <f t="shared" si="4"/>
        <v>34000000</v>
      </c>
    </row>
    <row r="9" spans="2:15" ht="31.5">
      <c r="B9" s="8" t="s">
        <v>38</v>
      </c>
      <c r="C9" s="3">
        <v>10</v>
      </c>
      <c r="D9" s="4">
        <v>11000000</v>
      </c>
      <c r="E9" s="4">
        <f t="shared" si="0"/>
        <v>110000000</v>
      </c>
      <c r="F9" s="3">
        <v>0</v>
      </c>
      <c r="G9" s="3">
        <v>1</v>
      </c>
      <c r="H9" s="3">
        <v>0</v>
      </c>
      <c r="I9" s="3">
        <v>0</v>
      </c>
      <c r="J9" s="4">
        <f t="shared" si="1"/>
        <v>0</v>
      </c>
      <c r="K9" s="4">
        <f t="shared" si="2"/>
        <v>110000000</v>
      </c>
      <c r="L9" s="4">
        <f t="shared" si="3"/>
        <v>0</v>
      </c>
      <c r="M9" s="4">
        <f t="shared" si="4"/>
        <v>0</v>
      </c>
    </row>
    <row r="10" spans="2:15" ht="31.5">
      <c r="B10" s="8" t="s">
        <v>39</v>
      </c>
      <c r="C10" s="3">
        <v>1</v>
      </c>
      <c r="D10" s="4">
        <v>30000000</v>
      </c>
      <c r="E10" s="4">
        <f t="shared" si="0"/>
        <v>30000000</v>
      </c>
      <c r="F10" s="3">
        <v>1</v>
      </c>
      <c r="G10" s="3">
        <v>0</v>
      </c>
      <c r="H10" s="3">
        <v>0</v>
      </c>
      <c r="I10" s="3">
        <v>0</v>
      </c>
      <c r="J10" s="4">
        <f t="shared" si="1"/>
        <v>30000000</v>
      </c>
      <c r="K10" s="4">
        <f t="shared" si="2"/>
        <v>0</v>
      </c>
      <c r="L10" s="4">
        <f t="shared" si="3"/>
        <v>0</v>
      </c>
      <c r="M10" s="4">
        <f t="shared" si="4"/>
        <v>0</v>
      </c>
    </row>
    <row r="11" spans="2:15" ht="31.5">
      <c r="B11" s="8" t="s">
        <v>45</v>
      </c>
      <c r="C11" s="3">
        <v>30</v>
      </c>
      <c r="D11" s="4">
        <v>600000</v>
      </c>
      <c r="E11" s="4">
        <f t="shared" si="0"/>
        <v>18000000</v>
      </c>
      <c r="F11" s="3">
        <v>1</v>
      </c>
      <c r="G11" s="3">
        <v>2</v>
      </c>
      <c r="H11" s="3">
        <v>2</v>
      </c>
      <c r="I11" s="3">
        <v>2</v>
      </c>
      <c r="J11" s="4">
        <f t="shared" si="1"/>
        <v>18000000</v>
      </c>
      <c r="K11" s="4">
        <f t="shared" si="2"/>
        <v>36000000</v>
      </c>
      <c r="L11" s="4">
        <f t="shared" si="3"/>
        <v>36000000</v>
      </c>
      <c r="M11" s="4">
        <f t="shared" si="4"/>
        <v>36000000</v>
      </c>
    </row>
    <row r="12" spans="2:15" ht="31.5">
      <c r="B12" s="8" t="s">
        <v>44</v>
      </c>
      <c r="C12" s="3">
        <v>90</v>
      </c>
      <c r="D12" s="4">
        <v>450000</v>
      </c>
      <c r="E12" s="4">
        <f t="shared" si="0"/>
        <v>40500000</v>
      </c>
      <c r="F12" s="3">
        <v>1</v>
      </c>
      <c r="G12" s="3">
        <v>2</v>
      </c>
      <c r="H12" s="3">
        <v>2</v>
      </c>
      <c r="I12" s="3">
        <v>2</v>
      </c>
      <c r="J12" s="4">
        <f t="shared" si="1"/>
        <v>40500000</v>
      </c>
      <c r="K12" s="4">
        <f t="shared" si="2"/>
        <v>81000000</v>
      </c>
      <c r="L12" s="4">
        <f t="shared" si="3"/>
        <v>81000000</v>
      </c>
      <c r="M12" s="4">
        <f t="shared" si="4"/>
        <v>81000000</v>
      </c>
      <c r="O12" t="s">
        <v>50</v>
      </c>
    </row>
    <row r="13" spans="2:15">
      <c r="B13" s="8"/>
      <c r="C13" s="3"/>
      <c r="D13" s="4"/>
      <c r="E13" s="7">
        <f>SUM(E6:E12)</f>
        <v>390500000</v>
      </c>
      <c r="F13" s="4"/>
      <c r="G13" s="3"/>
      <c r="H13" s="3"/>
      <c r="I13" s="3"/>
      <c r="J13" s="7">
        <f>SUM(J6:J12)</f>
        <v>280500000</v>
      </c>
      <c r="K13" s="7">
        <f>SUM(K6:K12)</f>
        <v>521000000</v>
      </c>
      <c r="L13" s="7">
        <f>SUM(L6:L12)</f>
        <v>411000000</v>
      </c>
      <c r="M13" s="7">
        <f>SUM(M6:M12)</f>
        <v>411000000</v>
      </c>
      <c r="N13" s="2">
        <f>SUM(J13:M13)</f>
        <v>1623500000</v>
      </c>
      <c r="O13" s="6">
        <f>N13*2</f>
        <v>3247000000</v>
      </c>
    </row>
    <row r="14" spans="2:15">
      <c r="C14" s="5"/>
      <c r="D14" s="5"/>
      <c r="I14" t="s">
        <v>60</v>
      </c>
      <c r="J14" s="2">
        <f>J13*2</f>
        <v>561000000</v>
      </c>
      <c r="K14" s="2">
        <f t="shared" ref="K14:M14" si="5">K13*2</f>
        <v>1042000000</v>
      </c>
      <c r="L14" s="2">
        <f t="shared" si="5"/>
        <v>822000000</v>
      </c>
      <c r="M14" s="2">
        <f t="shared" si="5"/>
        <v>822000000</v>
      </c>
    </row>
    <row r="15" spans="2:15">
      <c r="C15" s="5"/>
      <c r="D15"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79"/>
  <sheetViews>
    <sheetView zoomScale="73" zoomScaleNormal="80" workbookViewId="0">
      <pane ySplit="2" topLeftCell="A3" activePane="bottomLeft" state="frozen"/>
      <selection activeCell="D1" sqref="D1"/>
      <selection pane="bottomLeft" activeCell="AJ8" sqref="AJ8"/>
    </sheetView>
  </sheetViews>
  <sheetFormatPr baseColWidth="10" defaultColWidth="10.875" defaultRowHeight="18"/>
  <cols>
    <col min="1" max="1" width="10.875" style="53"/>
    <col min="2" max="2" width="15.875" style="53" hidden="1" customWidth="1"/>
    <col min="3" max="3" width="19.5" style="53" hidden="1" customWidth="1"/>
    <col min="4" max="4" width="37.5" style="53" hidden="1" customWidth="1"/>
    <col min="5" max="5" width="54.875" style="54" hidden="1" customWidth="1"/>
    <col min="6" max="6" width="14" style="82" customWidth="1"/>
    <col min="7" max="7" width="25.375" style="82" customWidth="1"/>
    <col min="8" max="8" width="48.375" style="83" customWidth="1"/>
    <col min="9" max="9" width="29.625" style="84" hidden="1" customWidth="1"/>
    <col min="10" max="10" width="31" style="53" hidden="1" customWidth="1"/>
    <col min="11" max="11" width="25.125" style="53" hidden="1" customWidth="1"/>
    <col min="12" max="12" width="24.375" style="53" hidden="1" customWidth="1"/>
    <col min="13" max="13" width="23" style="53" hidden="1" customWidth="1"/>
    <col min="14" max="14" width="23.875" style="53" hidden="1" customWidth="1"/>
    <col min="15" max="15" width="28" style="53" hidden="1" customWidth="1"/>
    <col min="16" max="16" width="19.5" style="53" hidden="1" customWidth="1"/>
    <col min="17" max="19" width="24.875" style="56" hidden="1" customWidth="1"/>
    <col min="20" max="22" width="24.5" style="56" hidden="1" customWidth="1"/>
    <col min="23" max="23" width="25.25" style="56" hidden="1" customWidth="1"/>
    <col min="24" max="25" width="23.5" style="56" hidden="1" customWidth="1"/>
    <col min="26" max="26" width="25.25" style="56" hidden="1" customWidth="1"/>
    <col min="27" max="27" width="25.25" style="85" customWidth="1"/>
    <col min="28" max="28" width="42.375" style="86" customWidth="1"/>
    <col min="29" max="30" width="25.25" style="56" hidden="1" customWidth="1"/>
    <col min="31" max="33" width="26.625" style="55" hidden="1" customWidth="1"/>
    <col min="34" max="35" width="26.625" style="56" hidden="1" customWidth="1"/>
    <col min="36" max="16384" width="10.875" style="53"/>
  </cols>
  <sheetData>
    <row r="1" spans="2:35">
      <c r="F1" s="261" t="s">
        <v>555</v>
      </c>
      <c r="G1" s="261"/>
      <c r="H1" s="261"/>
      <c r="I1" s="44"/>
      <c r="J1" s="36"/>
      <c r="K1" s="36"/>
      <c r="L1" s="36"/>
      <c r="M1" s="36"/>
      <c r="N1" s="36"/>
      <c r="O1" s="36"/>
      <c r="P1" s="36"/>
      <c r="Q1" s="38"/>
      <c r="R1" s="38"/>
      <c r="S1" s="38"/>
      <c r="T1" s="38"/>
      <c r="U1" s="38"/>
      <c r="V1" s="38"/>
      <c r="W1" s="38"/>
      <c r="X1" s="38"/>
      <c r="Y1" s="38"/>
      <c r="Z1" s="38"/>
      <c r="AA1" s="261" t="s">
        <v>535</v>
      </c>
      <c r="AB1" s="261"/>
      <c r="AC1" s="261"/>
      <c r="AD1" s="261"/>
    </row>
    <row r="2" spans="2:35" ht="54">
      <c r="B2" s="57" t="s">
        <v>54</v>
      </c>
      <c r="C2" s="57" t="s">
        <v>3</v>
      </c>
      <c r="D2" s="57" t="s">
        <v>2</v>
      </c>
      <c r="E2" s="58" t="s">
        <v>1</v>
      </c>
      <c r="F2" s="57" t="s">
        <v>102</v>
      </c>
      <c r="G2" s="57" t="s">
        <v>146</v>
      </c>
      <c r="H2" s="57" t="s">
        <v>106</v>
      </c>
      <c r="I2" s="59" t="s">
        <v>30</v>
      </c>
      <c r="J2" s="57" t="s">
        <v>6</v>
      </c>
      <c r="K2" s="57" t="s">
        <v>23</v>
      </c>
      <c r="L2" s="57">
        <v>2024</v>
      </c>
      <c r="M2" s="57">
        <v>2025</v>
      </c>
      <c r="N2" s="57">
        <v>2026</v>
      </c>
      <c r="O2" s="57">
        <v>2027</v>
      </c>
      <c r="P2" s="59" t="s">
        <v>32</v>
      </c>
      <c r="Q2" s="60">
        <v>2024</v>
      </c>
      <c r="R2" s="61" t="s">
        <v>169</v>
      </c>
      <c r="S2" s="61" t="s">
        <v>170</v>
      </c>
      <c r="T2" s="60">
        <v>2025</v>
      </c>
      <c r="U2" s="60" t="s">
        <v>171</v>
      </c>
      <c r="V2" s="61" t="s">
        <v>277</v>
      </c>
      <c r="W2" s="60">
        <v>2026</v>
      </c>
      <c r="X2" s="60" t="s">
        <v>312</v>
      </c>
      <c r="Y2" s="61" t="s">
        <v>313</v>
      </c>
      <c r="Z2" s="60">
        <v>2027</v>
      </c>
      <c r="AA2" s="62" t="s">
        <v>448</v>
      </c>
      <c r="AB2" s="62" t="s">
        <v>453</v>
      </c>
      <c r="AC2" s="62" t="s">
        <v>454</v>
      </c>
      <c r="AD2" s="60" t="s">
        <v>449</v>
      </c>
      <c r="AE2" s="63" t="s">
        <v>129</v>
      </c>
      <c r="AF2" s="61" t="s">
        <v>127</v>
      </c>
      <c r="AG2" s="61" t="s">
        <v>128</v>
      </c>
      <c r="AH2" s="64" t="s">
        <v>310</v>
      </c>
      <c r="AI2" s="64" t="s">
        <v>311</v>
      </c>
    </row>
    <row r="3" spans="2:35" ht="72">
      <c r="B3" s="210" t="s">
        <v>272</v>
      </c>
      <c r="C3" s="213" t="s">
        <v>0</v>
      </c>
      <c r="D3" s="213" t="s">
        <v>105</v>
      </c>
      <c r="E3" s="214" t="s">
        <v>273</v>
      </c>
      <c r="F3" s="65" t="s">
        <v>103</v>
      </c>
      <c r="G3" s="43" t="s">
        <v>147</v>
      </c>
      <c r="H3" s="43" t="s">
        <v>314</v>
      </c>
      <c r="I3" s="44" t="s">
        <v>315</v>
      </c>
      <c r="J3" s="66" t="s">
        <v>25</v>
      </c>
      <c r="K3" s="36">
        <v>0</v>
      </c>
      <c r="L3" s="36">
        <v>0.3</v>
      </c>
      <c r="M3" s="36">
        <v>1</v>
      </c>
      <c r="N3" s="36">
        <v>1</v>
      </c>
      <c r="O3" s="36">
        <v>1</v>
      </c>
      <c r="P3" s="36">
        <v>1</v>
      </c>
      <c r="Q3" s="40">
        <v>480000000</v>
      </c>
      <c r="R3" s="40">
        <v>240000000</v>
      </c>
      <c r="S3" s="40">
        <v>240000000</v>
      </c>
      <c r="T3" s="38">
        <v>250000000</v>
      </c>
      <c r="U3" s="38">
        <v>250000000</v>
      </c>
      <c r="V3" s="38"/>
      <c r="W3" s="38">
        <v>250000000</v>
      </c>
      <c r="X3" s="38"/>
      <c r="Y3" s="38"/>
      <c r="Z3" s="38">
        <v>250000000</v>
      </c>
      <c r="AA3" s="248" t="s">
        <v>542</v>
      </c>
      <c r="AB3" s="248" t="s">
        <v>455</v>
      </c>
      <c r="AC3" s="215">
        <f>646000000+89000000</f>
        <v>735000000</v>
      </c>
      <c r="AD3" s="38" t="s">
        <v>450</v>
      </c>
      <c r="AE3" s="220">
        <f>646000000+89000000</f>
        <v>735000000</v>
      </c>
      <c r="AF3" s="223">
        <f>240000000+280000000+150000000+65000000</f>
        <v>735000000</v>
      </c>
      <c r="AG3" s="223">
        <f>+AE3-AF3</f>
        <v>0</v>
      </c>
      <c r="AH3" s="47"/>
      <c r="AI3" s="47">
        <v>240000000</v>
      </c>
    </row>
    <row r="4" spans="2:35" ht="72">
      <c r="B4" s="211"/>
      <c r="C4" s="213"/>
      <c r="D4" s="213"/>
      <c r="E4" s="214"/>
      <c r="F4" s="65" t="s">
        <v>119</v>
      </c>
      <c r="G4" s="43" t="s">
        <v>148</v>
      </c>
      <c r="H4" s="43" t="s">
        <v>316</v>
      </c>
      <c r="I4" s="44" t="s">
        <v>317</v>
      </c>
      <c r="J4" s="66" t="s">
        <v>25</v>
      </c>
      <c r="K4" s="36">
        <v>0</v>
      </c>
      <c r="L4" s="36">
        <v>0.2</v>
      </c>
      <c r="M4" s="36">
        <v>0.8</v>
      </c>
      <c r="N4" s="36">
        <v>1</v>
      </c>
      <c r="O4" s="36">
        <v>1</v>
      </c>
      <c r="P4" s="36">
        <v>1</v>
      </c>
      <c r="Q4" s="40">
        <v>150000000</v>
      </c>
      <c r="R4" s="40">
        <v>150000000</v>
      </c>
      <c r="S4" s="40"/>
      <c r="T4" s="38">
        <v>150000000</v>
      </c>
      <c r="U4" s="38">
        <v>150000000</v>
      </c>
      <c r="V4" s="38"/>
      <c r="W4" s="67">
        <v>75000000</v>
      </c>
      <c r="X4" s="38"/>
      <c r="Y4" s="38">
        <f t="shared" ref="Y4:Y14" si="0">+R4-U4</f>
        <v>0</v>
      </c>
      <c r="Z4" s="38">
        <v>210000000</v>
      </c>
      <c r="AA4" s="249"/>
      <c r="AB4" s="249"/>
      <c r="AC4" s="215"/>
      <c r="AD4" s="38" t="s">
        <v>450</v>
      </c>
      <c r="AE4" s="221"/>
      <c r="AF4" s="224"/>
      <c r="AG4" s="224"/>
      <c r="AH4" s="48"/>
      <c r="AI4" s="48">
        <v>150000000</v>
      </c>
    </row>
    <row r="5" spans="2:35" ht="90">
      <c r="B5" s="211"/>
      <c r="C5" s="213"/>
      <c r="D5" s="213"/>
      <c r="E5" s="214"/>
      <c r="F5" s="65" t="s">
        <v>120</v>
      </c>
      <c r="G5" s="43" t="s">
        <v>149</v>
      </c>
      <c r="H5" s="43" t="s">
        <v>318</v>
      </c>
      <c r="I5" s="44" t="s">
        <v>319</v>
      </c>
      <c r="J5" s="66" t="s">
        <v>7</v>
      </c>
      <c r="K5" s="36">
        <v>1</v>
      </c>
      <c r="L5" s="36">
        <v>1</v>
      </c>
      <c r="M5" s="36">
        <v>1</v>
      </c>
      <c r="N5" s="36">
        <v>1</v>
      </c>
      <c r="O5" s="36">
        <v>1</v>
      </c>
      <c r="P5" s="36">
        <v>1</v>
      </c>
      <c r="Q5" s="38">
        <v>280000000</v>
      </c>
      <c r="R5" s="38">
        <v>280000000</v>
      </c>
      <c r="S5" s="38"/>
      <c r="T5" s="38">
        <v>280000000</v>
      </c>
      <c r="U5" s="38">
        <v>280000000</v>
      </c>
      <c r="V5" s="38"/>
      <c r="W5" s="38">
        <v>280000000</v>
      </c>
      <c r="X5" s="38"/>
      <c r="Y5" s="38">
        <f t="shared" si="0"/>
        <v>0</v>
      </c>
      <c r="Z5" s="38">
        <v>280000000</v>
      </c>
      <c r="AA5" s="249"/>
      <c r="AB5" s="249"/>
      <c r="AC5" s="215"/>
      <c r="AD5" s="38" t="s">
        <v>450</v>
      </c>
      <c r="AE5" s="221"/>
      <c r="AF5" s="224"/>
      <c r="AG5" s="224"/>
      <c r="AH5" s="48"/>
      <c r="AI5" s="48">
        <v>280000000</v>
      </c>
    </row>
    <row r="6" spans="2:35" ht="54">
      <c r="B6" s="211"/>
      <c r="C6" s="213"/>
      <c r="D6" s="213"/>
      <c r="E6" s="217" t="s">
        <v>274</v>
      </c>
      <c r="F6" s="65" t="s">
        <v>150</v>
      </c>
      <c r="G6" s="43" t="s">
        <v>151</v>
      </c>
      <c r="H6" s="43" t="s">
        <v>320</v>
      </c>
      <c r="I6" s="44" t="s">
        <v>321</v>
      </c>
      <c r="J6" s="66" t="s">
        <v>15</v>
      </c>
      <c r="K6" s="36">
        <v>0</v>
      </c>
      <c r="L6" s="36">
        <v>1</v>
      </c>
      <c r="M6" s="36">
        <v>1</v>
      </c>
      <c r="N6" s="36" t="s">
        <v>26</v>
      </c>
      <c r="O6" s="36" t="s">
        <v>26</v>
      </c>
      <c r="P6" s="36">
        <v>2</v>
      </c>
      <c r="Q6" s="38">
        <v>65000000</v>
      </c>
      <c r="R6" s="38">
        <v>65000000</v>
      </c>
      <c r="S6" s="38"/>
      <c r="T6" s="38">
        <v>65000000</v>
      </c>
      <c r="U6" s="38">
        <v>65000000</v>
      </c>
      <c r="V6" s="38"/>
      <c r="W6" s="38">
        <v>0</v>
      </c>
      <c r="X6" s="38"/>
      <c r="Y6" s="38">
        <f t="shared" si="0"/>
        <v>0</v>
      </c>
      <c r="Z6" s="38">
        <v>0</v>
      </c>
      <c r="AA6" s="260"/>
      <c r="AB6" s="260"/>
      <c r="AC6" s="215"/>
      <c r="AD6" s="38" t="s">
        <v>450</v>
      </c>
      <c r="AE6" s="222"/>
      <c r="AF6" s="225"/>
      <c r="AG6" s="225"/>
      <c r="AH6" s="49"/>
      <c r="AI6" s="49">
        <v>65000000</v>
      </c>
    </row>
    <row r="7" spans="2:35" ht="72">
      <c r="B7" s="211"/>
      <c r="C7" s="213"/>
      <c r="D7" s="213"/>
      <c r="E7" s="218"/>
      <c r="F7" s="65" t="s">
        <v>152</v>
      </c>
      <c r="G7" s="43" t="s">
        <v>275</v>
      </c>
      <c r="H7" s="43" t="s">
        <v>322</v>
      </c>
      <c r="I7" s="43" t="s">
        <v>323</v>
      </c>
      <c r="J7" s="36" t="s">
        <v>153</v>
      </c>
      <c r="K7" s="36">
        <v>240</v>
      </c>
      <c r="L7" s="36" t="s">
        <v>26</v>
      </c>
      <c r="M7" s="36">
        <v>180</v>
      </c>
      <c r="N7" s="36">
        <v>180</v>
      </c>
      <c r="O7" s="36">
        <v>180</v>
      </c>
      <c r="P7" s="36">
        <v>180</v>
      </c>
      <c r="Q7" s="42">
        <v>0</v>
      </c>
      <c r="R7" s="42">
        <v>0</v>
      </c>
      <c r="S7" s="42"/>
      <c r="T7" s="42">
        <v>600000000</v>
      </c>
      <c r="U7" s="42">
        <v>600000000</v>
      </c>
      <c r="V7" s="42"/>
      <c r="W7" s="42">
        <v>600000000</v>
      </c>
      <c r="X7" s="42"/>
      <c r="Y7" s="38"/>
      <c r="Z7" s="42">
        <v>700000000</v>
      </c>
      <c r="AA7" s="46" t="s">
        <v>451</v>
      </c>
      <c r="AB7" s="107" t="s">
        <v>456</v>
      </c>
      <c r="AC7" s="42">
        <v>500000000</v>
      </c>
      <c r="AD7" s="42" t="s">
        <v>450</v>
      </c>
      <c r="AE7" s="68">
        <f>500000000</f>
        <v>500000000</v>
      </c>
      <c r="AF7" s="69">
        <f>125550000</f>
        <v>125550000</v>
      </c>
      <c r="AG7" s="69">
        <f>+AE7-AF7</f>
        <v>374450000</v>
      </c>
      <c r="AH7" s="49"/>
      <c r="AI7" s="49">
        <v>825550000</v>
      </c>
    </row>
    <row r="8" spans="2:35" ht="90">
      <c r="B8" s="211"/>
      <c r="C8" s="213"/>
      <c r="D8" s="213"/>
      <c r="E8" s="218"/>
      <c r="F8" s="65" t="s">
        <v>154</v>
      </c>
      <c r="G8" s="43" t="s">
        <v>155</v>
      </c>
      <c r="H8" s="43" t="s">
        <v>324</v>
      </c>
      <c r="I8" s="44" t="s">
        <v>325</v>
      </c>
      <c r="J8" s="36" t="s">
        <v>15</v>
      </c>
      <c r="K8" s="36">
        <v>2</v>
      </c>
      <c r="L8" s="36">
        <v>0.3</v>
      </c>
      <c r="M8" s="36">
        <v>0.6</v>
      </c>
      <c r="N8" s="36">
        <v>1</v>
      </c>
      <c r="O8" s="36">
        <v>0</v>
      </c>
      <c r="P8" s="36">
        <v>1</v>
      </c>
      <c r="Q8" s="38">
        <v>561000000</v>
      </c>
      <c r="R8" s="38">
        <v>561000000</v>
      </c>
      <c r="S8" s="38"/>
      <c r="T8" s="40">
        <v>942000000</v>
      </c>
      <c r="U8" s="40">
        <v>400000000</v>
      </c>
      <c r="V8" s="40">
        <f>+T8-U8</f>
        <v>542000000</v>
      </c>
      <c r="W8" s="38">
        <v>722000000</v>
      </c>
      <c r="X8" s="38"/>
      <c r="Y8" s="38"/>
      <c r="Z8" s="38">
        <v>822000000</v>
      </c>
      <c r="AA8" s="51" t="s">
        <v>452</v>
      </c>
      <c r="AB8" s="52" t="s">
        <v>457</v>
      </c>
      <c r="AC8" s="38">
        <v>800000000</v>
      </c>
      <c r="AD8" s="38" t="s">
        <v>450</v>
      </c>
      <c r="AE8" s="70">
        <v>800000000</v>
      </c>
      <c r="AF8" s="39">
        <v>800000000</v>
      </c>
      <c r="AG8" s="39">
        <f>+AE8-AF8</f>
        <v>0</v>
      </c>
      <c r="AH8" s="40"/>
      <c r="AI8" s="40">
        <v>561000000</v>
      </c>
    </row>
    <row r="9" spans="2:35" ht="72">
      <c r="B9" s="211"/>
      <c r="C9" s="213"/>
      <c r="D9" s="213"/>
      <c r="E9" s="218"/>
      <c r="F9" s="65" t="s">
        <v>156</v>
      </c>
      <c r="G9" s="43" t="s">
        <v>157</v>
      </c>
      <c r="H9" s="43" t="s">
        <v>326</v>
      </c>
      <c r="I9" s="44" t="s">
        <v>327</v>
      </c>
      <c r="J9" s="36" t="s">
        <v>15</v>
      </c>
      <c r="K9" s="36">
        <v>7</v>
      </c>
      <c r="L9" s="36">
        <v>0.2</v>
      </c>
      <c r="M9" s="36">
        <v>0.8</v>
      </c>
      <c r="N9" s="36">
        <v>1</v>
      </c>
      <c r="O9" s="36" t="s">
        <v>26</v>
      </c>
      <c r="P9" s="36">
        <v>2</v>
      </c>
      <c r="Q9" s="38">
        <f>75000000+350000000</f>
        <v>425000000</v>
      </c>
      <c r="R9" s="38">
        <v>425000000</v>
      </c>
      <c r="S9" s="38"/>
      <c r="T9" s="38">
        <v>205000000</v>
      </c>
      <c r="U9" s="38">
        <v>205000000</v>
      </c>
      <c r="V9" s="38"/>
      <c r="W9" s="38">
        <v>215000000</v>
      </c>
      <c r="X9" s="38"/>
      <c r="Y9" s="38"/>
      <c r="Z9" s="38">
        <v>0</v>
      </c>
      <c r="AA9" s="51" t="s">
        <v>459</v>
      </c>
      <c r="AB9" s="52" t="s">
        <v>458</v>
      </c>
      <c r="AC9" s="216">
        <v>700000000</v>
      </c>
      <c r="AD9" s="216" t="s">
        <v>450</v>
      </c>
      <c r="AE9" s="70">
        <v>700000000</v>
      </c>
      <c r="AF9" s="39">
        <f>75000000+156000000+350000000</f>
        <v>581000000</v>
      </c>
      <c r="AG9" s="39">
        <f>+AE9-AF9</f>
        <v>119000000</v>
      </c>
      <c r="AH9" s="40"/>
      <c r="AI9" s="40">
        <v>75000000</v>
      </c>
    </row>
    <row r="10" spans="2:35" ht="72">
      <c r="B10" s="211"/>
      <c r="C10" s="213"/>
      <c r="D10" s="213"/>
      <c r="E10" s="218"/>
      <c r="F10" s="65" t="s">
        <v>158</v>
      </c>
      <c r="G10" s="43" t="s">
        <v>159</v>
      </c>
      <c r="H10" s="43" t="s">
        <v>328</v>
      </c>
      <c r="I10" s="44" t="s">
        <v>329</v>
      </c>
      <c r="J10" s="36" t="s">
        <v>15</v>
      </c>
      <c r="K10" s="36">
        <v>15</v>
      </c>
      <c r="L10" s="36">
        <v>0.2</v>
      </c>
      <c r="M10" s="36">
        <v>0.5</v>
      </c>
      <c r="N10" s="36">
        <v>0.3</v>
      </c>
      <c r="O10" s="36" t="s">
        <v>26</v>
      </c>
      <c r="P10" s="36">
        <v>1</v>
      </c>
      <c r="Q10" s="38">
        <v>156000000</v>
      </c>
      <c r="R10" s="38">
        <v>156000000</v>
      </c>
      <c r="S10" s="38"/>
      <c r="T10" s="38">
        <v>415000000</v>
      </c>
      <c r="U10" s="38">
        <v>415000000</v>
      </c>
      <c r="V10" s="38"/>
      <c r="W10" s="38">
        <v>259000000</v>
      </c>
      <c r="X10" s="38"/>
      <c r="Y10" s="38"/>
      <c r="Z10" s="42">
        <v>400000000</v>
      </c>
      <c r="AA10" s="46" t="s">
        <v>459</v>
      </c>
      <c r="AB10" s="52" t="s">
        <v>458</v>
      </c>
      <c r="AC10" s="216"/>
      <c r="AD10" s="216"/>
      <c r="AE10" s="70"/>
      <c r="AF10" s="39"/>
      <c r="AG10" s="39"/>
      <c r="AH10" s="40"/>
      <c r="AI10" s="40">
        <v>156000000</v>
      </c>
    </row>
    <row r="11" spans="2:35" ht="72">
      <c r="B11" s="211"/>
      <c r="C11" s="213"/>
      <c r="D11" s="213"/>
      <c r="E11" s="218"/>
      <c r="F11" s="198" t="s">
        <v>160</v>
      </c>
      <c r="G11" s="195" t="s">
        <v>161</v>
      </c>
      <c r="H11" s="43" t="s">
        <v>330</v>
      </c>
      <c r="I11" s="44" t="s">
        <v>135</v>
      </c>
      <c r="J11" s="36" t="s">
        <v>15</v>
      </c>
      <c r="K11" s="36">
        <v>13</v>
      </c>
      <c r="L11" s="36">
        <v>0.2</v>
      </c>
      <c r="M11" s="36">
        <v>0.2</v>
      </c>
      <c r="N11" s="36">
        <v>0.2</v>
      </c>
      <c r="O11" s="36">
        <v>0</v>
      </c>
      <c r="P11" s="36">
        <v>1</v>
      </c>
      <c r="Q11" s="38">
        <f>450000000+108000000+64000000+125550000</f>
        <v>747550000</v>
      </c>
      <c r="R11" s="38">
        <f>450000000+108000000+64000000+125550000</f>
        <v>747550000</v>
      </c>
      <c r="S11" s="38"/>
      <c r="T11" s="38">
        <v>1175000000</v>
      </c>
      <c r="U11" s="38">
        <v>1175000000</v>
      </c>
      <c r="V11" s="38"/>
      <c r="W11" s="38">
        <v>1175000000</v>
      </c>
      <c r="X11" s="38"/>
      <c r="Y11" s="38"/>
      <c r="Z11" s="38">
        <v>0</v>
      </c>
      <c r="AA11" s="226" t="s">
        <v>544</v>
      </c>
      <c r="AB11" s="227" t="s">
        <v>543</v>
      </c>
      <c r="AC11" s="216">
        <v>1835550000</v>
      </c>
      <c r="AD11" s="216" t="s">
        <v>460</v>
      </c>
      <c r="AE11" s="70">
        <f>1600000000+110000000+125550000</f>
        <v>1835550000</v>
      </c>
      <c r="AF11" s="39">
        <f>450000000+108000000+600000000+64000000+89000000+125550000</f>
        <v>1436550000</v>
      </c>
      <c r="AG11" s="39">
        <f>+AE11-AF11</f>
        <v>399000000</v>
      </c>
      <c r="AH11" s="40"/>
      <c r="AI11" s="40">
        <v>622000000</v>
      </c>
    </row>
    <row r="12" spans="2:35" ht="54">
      <c r="B12" s="211"/>
      <c r="C12" s="213"/>
      <c r="D12" s="213"/>
      <c r="E12" s="218"/>
      <c r="F12" s="198"/>
      <c r="G12" s="195"/>
      <c r="H12" s="43" t="s">
        <v>331</v>
      </c>
      <c r="I12" s="44" t="s">
        <v>136</v>
      </c>
      <c r="J12" s="36" t="s">
        <v>15</v>
      </c>
      <c r="K12" s="36">
        <v>5</v>
      </c>
      <c r="L12" s="36">
        <v>0</v>
      </c>
      <c r="M12" s="36">
        <v>0</v>
      </c>
      <c r="N12" s="36">
        <v>1</v>
      </c>
      <c r="O12" s="36">
        <v>0</v>
      </c>
      <c r="P12" s="36">
        <v>1</v>
      </c>
      <c r="Q12" s="38"/>
      <c r="R12" s="38"/>
      <c r="S12" s="38"/>
      <c r="T12" s="38"/>
      <c r="U12" s="38"/>
      <c r="V12" s="38"/>
      <c r="W12" s="38">
        <v>600000000</v>
      </c>
      <c r="X12" s="38"/>
      <c r="Y12" s="38">
        <f t="shared" si="0"/>
        <v>0</v>
      </c>
      <c r="Z12" s="38"/>
      <c r="AA12" s="226"/>
      <c r="AB12" s="227"/>
      <c r="AC12" s="216"/>
      <c r="AD12" s="216"/>
      <c r="AE12" s="70"/>
      <c r="AF12" s="39"/>
      <c r="AG12" s="39"/>
      <c r="AH12" s="40"/>
      <c r="AI12" s="40"/>
    </row>
    <row r="13" spans="2:35" ht="72">
      <c r="B13" s="211"/>
      <c r="C13" s="213"/>
      <c r="D13" s="213"/>
      <c r="E13" s="218"/>
      <c r="F13" s="65" t="s">
        <v>162</v>
      </c>
      <c r="G13" s="43" t="s">
        <v>163</v>
      </c>
      <c r="H13" s="43" t="s">
        <v>332</v>
      </c>
      <c r="I13" s="44" t="s">
        <v>333</v>
      </c>
      <c r="J13" s="36" t="s">
        <v>15</v>
      </c>
      <c r="K13" s="36">
        <v>0</v>
      </c>
      <c r="L13" s="36">
        <v>0.2</v>
      </c>
      <c r="M13" s="36">
        <v>0.8</v>
      </c>
      <c r="N13" s="36">
        <v>1</v>
      </c>
      <c r="O13" s="36" t="s">
        <v>26</v>
      </c>
      <c r="P13" s="36">
        <v>2</v>
      </c>
      <c r="Q13" s="40">
        <v>600000000</v>
      </c>
      <c r="R13" s="40">
        <v>600000000</v>
      </c>
      <c r="S13" s="40"/>
      <c r="T13" s="40">
        <v>1500000000</v>
      </c>
      <c r="U13" s="40">
        <v>1500000000</v>
      </c>
      <c r="V13" s="40"/>
      <c r="W13" s="40">
        <v>1500000000</v>
      </c>
      <c r="X13" s="40"/>
      <c r="Y13" s="38"/>
      <c r="Z13" s="38">
        <v>0</v>
      </c>
      <c r="AA13" s="51" t="s">
        <v>461</v>
      </c>
      <c r="AB13" s="52" t="s">
        <v>462</v>
      </c>
      <c r="AC13" s="216"/>
      <c r="AD13" s="216"/>
      <c r="AE13" s="70"/>
      <c r="AF13" s="39"/>
      <c r="AG13" s="39"/>
      <c r="AH13" s="40"/>
      <c r="AI13" s="40">
        <v>600000000</v>
      </c>
    </row>
    <row r="14" spans="2:35" ht="72">
      <c r="B14" s="211"/>
      <c r="C14" s="213"/>
      <c r="D14" s="213"/>
      <c r="E14" s="219"/>
      <c r="F14" s="65" t="s">
        <v>164</v>
      </c>
      <c r="G14" s="43" t="s">
        <v>165</v>
      </c>
      <c r="H14" s="43" t="s">
        <v>334</v>
      </c>
      <c r="I14" s="44" t="s">
        <v>335</v>
      </c>
      <c r="J14" s="66" t="s">
        <v>28</v>
      </c>
      <c r="K14" s="36">
        <v>0</v>
      </c>
      <c r="L14" s="36">
        <v>0.2</v>
      </c>
      <c r="M14" s="36">
        <v>0.8</v>
      </c>
      <c r="N14" s="36">
        <v>1</v>
      </c>
      <c r="O14" s="36">
        <v>1</v>
      </c>
      <c r="P14" s="36">
        <v>2</v>
      </c>
      <c r="Q14" s="40">
        <v>450000000</v>
      </c>
      <c r="R14" s="40">
        <v>450000000</v>
      </c>
      <c r="S14" s="40"/>
      <c r="T14" s="38">
        <v>450000000</v>
      </c>
      <c r="U14" s="38">
        <v>450000000</v>
      </c>
      <c r="V14" s="38"/>
      <c r="W14" s="38">
        <v>450000000</v>
      </c>
      <c r="X14" s="38"/>
      <c r="Y14" s="38">
        <f t="shared" si="0"/>
        <v>0</v>
      </c>
      <c r="Z14" s="38">
        <v>520000000</v>
      </c>
      <c r="AA14" s="51" t="s">
        <v>463</v>
      </c>
      <c r="AB14" s="52" t="s">
        <v>464</v>
      </c>
      <c r="AC14" s="38">
        <v>450000000</v>
      </c>
      <c r="AD14" s="38" t="s">
        <v>450</v>
      </c>
      <c r="AE14" s="70">
        <v>0</v>
      </c>
      <c r="AF14" s="39"/>
      <c r="AG14" s="39"/>
      <c r="AH14" s="40">
        <v>0</v>
      </c>
      <c r="AI14" s="40">
        <v>450000000</v>
      </c>
    </row>
    <row r="15" spans="2:35" ht="72">
      <c r="B15" s="211"/>
      <c r="C15" s="213"/>
      <c r="D15" s="213"/>
      <c r="E15" s="217" t="s">
        <v>276</v>
      </c>
      <c r="F15" s="198" t="s">
        <v>104</v>
      </c>
      <c r="G15" s="195" t="s">
        <v>166</v>
      </c>
      <c r="H15" s="43" t="s">
        <v>336</v>
      </c>
      <c r="I15" s="44" t="s">
        <v>337</v>
      </c>
      <c r="J15" s="36" t="s">
        <v>15</v>
      </c>
      <c r="K15" s="36">
        <v>68</v>
      </c>
      <c r="L15" s="36">
        <v>130</v>
      </c>
      <c r="M15" s="36">
        <v>100</v>
      </c>
      <c r="N15" s="36">
        <v>100</v>
      </c>
      <c r="O15" s="36">
        <v>70</v>
      </c>
      <c r="P15" s="36">
        <v>400</v>
      </c>
      <c r="Q15" s="38">
        <f>180000000+435000000+265000000</f>
        <v>880000000</v>
      </c>
      <c r="R15" s="38">
        <f>180000000+435000000+265000000</f>
        <v>880000000</v>
      </c>
      <c r="S15" s="38"/>
      <c r="T15" s="38">
        <v>600000000</v>
      </c>
      <c r="U15" s="38">
        <v>600000000</v>
      </c>
      <c r="V15" s="38"/>
      <c r="W15" s="38">
        <v>600000000</v>
      </c>
      <c r="X15" s="38"/>
      <c r="Y15" s="38"/>
      <c r="Z15" s="38">
        <v>900000000</v>
      </c>
      <c r="AA15" s="51" t="s">
        <v>545</v>
      </c>
      <c r="AB15" s="52" t="s">
        <v>546</v>
      </c>
      <c r="AC15" s="38">
        <v>880000000</v>
      </c>
      <c r="AD15" s="38" t="s">
        <v>465</v>
      </c>
      <c r="AE15" s="70"/>
      <c r="AF15" s="39"/>
      <c r="AG15" s="39"/>
      <c r="AH15" s="40">
        <v>700000000</v>
      </c>
      <c r="AI15" s="40">
        <v>180000000</v>
      </c>
    </row>
    <row r="16" spans="2:35" ht="54">
      <c r="B16" s="211"/>
      <c r="C16" s="213"/>
      <c r="D16" s="213"/>
      <c r="E16" s="218"/>
      <c r="F16" s="198"/>
      <c r="G16" s="195"/>
      <c r="H16" s="43" t="s">
        <v>338</v>
      </c>
      <c r="I16" s="44" t="s">
        <v>339</v>
      </c>
      <c r="J16" s="36" t="s">
        <v>15</v>
      </c>
      <c r="K16" s="36">
        <v>10</v>
      </c>
      <c r="L16" s="36">
        <v>1</v>
      </c>
      <c r="M16" s="36">
        <v>3</v>
      </c>
      <c r="N16" s="36">
        <v>4</v>
      </c>
      <c r="O16" s="36">
        <v>3</v>
      </c>
      <c r="P16" s="36">
        <v>11</v>
      </c>
      <c r="Q16" s="38">
        <v>420000000</v>
      </c>
      <c r="R16" s="38">
        <v>420000000</v>
      </c>
      <c r="S16" s="38"/>
      <c r="T16" s="38">
        <v>400000000</v>
      </c>
      <c r="U16" s="38">
        <v>400000000</v>
      </c>
      <c r="V16" s="38"/>
      <c r="W16" s="38">
        <v>400000000</v>
      </c>
      <c r="X16" s="38"/>
      <c r="Y16" s="38"/>
      <c r="Z16" s="38">
        <v>450000000</v>
      </c>
      <c r="AA16" s="51" t="s">
        <v>466</v>
      </c>
      <c r="AB16" s="52" t="s">
        <v>467</v>
      </c>
      <c r="AC16" s="38">
        <v>400000000</v>
      </c>
      <c r="AD16" s="38"/>
      <c r="AE16" s="70">
        <v>400000000</v>
      </c>
      <c r="AF16" s="39">
        <v>400000000</v>
      </c>
      <c r="AG16" s="39">
        <f>+AE16-AF16</f>
        <v>0</v>
      </c>
      <c r="AH16" s="40">
        <v>420000000</v>
      </c>
      <c r="AI16" s="40"/>
    </row>
    <row r="17" spans="2:35" ht="72">
      <c r="B17" s="212"/>
      <c r="C17" s="213"/>
      <c r="D17" s="213"/>
      <c r="E17" s="219"/>
      <c r="F17" s="65" t="s">
        <v>167</v>
      </c>
      <c r="G17" s="43" t="s">
        <v>168</v>
      </c>
      <c r="H17" s="44" t="s">
        <v>340</v>
      </c>
      <c r="I17" s="44" t="s">
        <v>341</v>
      </c>
      <c r="J17" s="36" t="s">
        <v>15</v>
      </c>
      <c r="K17" s="36">
        <v>560</v>
      </c>
      <c r="L17" s="36">
        <v>100</v>
      </c>
      <c r="M17" s="36">
        <v>200</v>
      </c>
      <c r="N17" s="36">
        <v>200</v>
      </c>
      <c r="O17" s="36">
        <v>100</v>
      </c>
      <c r="P17" s="36">
        <v>600</v>
      </c>
      <c r="Q17" s="38">
        <f>6512859573.66</f>
        <v>6512859573.6599998</v>
      </c>
      <c r="R17" s="38">
        <v>6512859573.6599998</v>
      </c>
      <c r="S17" s="38"/>
      <c r="T17" s="38">
        <v>7000000000</v>
      </c>
      <c r="U17" s="38">
        <v>7000000000</v>
      </c>
      <c r="V17" s="38"/>
      <c r="W17" s="38">
        <v>7000000000</v>
      </c>
      <c r="X17" s="38"/>
      <c r="Y17" s="38"/>
      <c r="Z17" s="38">
        <v>7000000000</v>
      </c>
      <c r="AA17" s="51" t="s">
        <v>104</v>
      </c>
      <c r="AB17" s="52" t="s">
        <v>468</v>
      </c>
      <c r="AC17" s="38">
        <v>6512859573.6599998</v>
      </c>
      <c r="AD17" s="40" t="s">
        <v>469</v>
      </c>
      <c r="AE17" s="70">
        <f>6512859573.66+726548696.74</f>
        <v>7239408270.3999996</v>
      </c>
      <c r="AF17" s="39">
        <f>6512859573.66+726548696.74</f>
        <v>7239408270.3999996</v>
      </c>
      <c r="AG17" s="39">
        <f t="shared" ref="AG17" si="1">+AE17-AF17</f>
        <v>0</v>
      </c>
      <c r="AH17" s="40"/>
      <c r="AI17" s="40">
        <v>6512859573.6599998</v>
      </c>
    </row>
    <row r="18" spans="2:35" ht="90">
      <c r="B18" s="194" t="s">
        <v>204</v>
      </c>
      <c r="C18" s="196" t="s">
        <v>14</v>
      </c>
      <c r="D18" s="194" t="s">
        <v>13</v>
      </c>
      <c r="E18" s="232" t="s">
        <v>205</v>
      </c>
      <c r="F18" s="43" t="s">
        <v>172</v>
      </c>
      <c r="G18" s="43" t="s">
        <v>9</v>
      </c>
      <c r="H18" s="43" t="s">
        <v>342</v>
      </c>
      <c r="I18" s="44" t="s">
        <v>343</v>
      </c>
      <c r="J18" s="66" t="s">
        <v>28</v>
      </c>
      <c r="K18" s="36">
        <v>0</v>
      </c>
      <c r="L18" s="36">
        <v>5</v>
      </c>
      <c r="M18" s="36">
        <v>5</v>
      </c>
      <c r="N18" s="36">
        <v>5</v>
      </c>
      <c r="O18" s="36">
        <v>5</v>
      </c>
      <c r="P18" s="36">
        <v>1</v>
      </c>
      <c r="Q18" s="38">
        <v>400000000</v>
      </c>
      <c r="R18" s="38">
        <v>400000000</v>
      </c>
      <c r="S18" s="38"/>
      <c r="T18" s="38">
        <v>370000000</v>
      </c>
      <c r="U18" s="38">
        <v>370000000</v>
      </c>
      <c r="V18" s="38"/>
      <c r="W18" s="38">
        <v>200000000</v>
      </c>
      <c r="X18" s="38"/>
      <c r="Y18" s="38"/>
      <c r="Z18" s="38">
        <v>200000000</v>
      </c>
      <c r="AA18" s="51" t="s">
        <v>470</v>
      </c>
      <c r="AB18" s="52" t="s">
        <v>471</v>
      </c>
      <c r="AC18" s="38">
        <v>400000000</v>
      </c>
      <c r="AD18" s="38" t="s">
        <v>472</v>
      </c>
      <c r="AE18" s="70">
        <v>0</v>
      </c>
      <c r="AF18" s="39">
        <v>0</v>
      </c>
      <c r="AG18" s="39">
        <v>0</v>
      </c>
      <c r="AH18" s="40"/>
      <c r="AI18" s="40">
        <v>400000000</v>
      </c>
    </row>
    <row r="19" spans="2:35" ht="54">
      <c r="B19" s="194"/>
      <c r="C19" s="196"/>
      <c r="D19" s="194"/>
      <c r="E19" s="232"/>
      <c r="F19" s="195" t="s">
        <v>173</v>
      </c>
      <c r="G19" s="195" t="s">
        <v>174</v>
      </c>
      <c r="H19" s="43" t="s">
        <v>344</v>
      </c>
      <c r="I19" s="44" t="s">
        <v>345</v>
      </c>
      <c r="J19" s="66" t="s">
        <v>137</v>
      </c>
      <c r="K19" s="37">
        <v>0</v>
      </c>
      <c r="L19" s="73">
        <v>1</v>
      </c>
      <c r="M19" s="73">
        <v>1</v>
      </c>
      <c r="N19" s="73">
        <v>1</v>
      </c>
      <c r="O19" s="73">
        <v>1</v>
      </c>
      <c r="P19" s="73">
        <v>1</v>
      </c>
      <c r="Q19" s="40">
        <v>200000000</v>
      </c>
      <c r="R19" s="40">
        <v>200000000</v>
      </c>
      <c r="S19" s="40"/>
      <c r="T19" s="40">
        <v>250000000</v>
      </c>
      <c r="U19" s="40">
        <v>250000000</v>
      </c>
      <c r="V19" s="40"/>
      <c r="W19" s="40">
        <v>250000000</v>
      </c>
      <c r="X19" s="40"/>
      <c r="Y19" s="38"/>
      <c r="Z19" s="40">
        <v>250000000</v>
      </c>
      <c r="AA19" s="226" t="s">
        <v>473</v>
      </c>
      <c r="AB19" s="227" t="s">
        <v>547</v>
      </c>
      <c r="AC19" s="231">
        <v>200000000</v>
      </c>
      <c r="AD19" s="231" t="s">
        <v>450</v>
      </c>
      <c r="AE19" s="220">
        <v>600000000</v>
      </c>
      <c r="AF19" s="223">
        <f>200000000</f>
        <v>200000000</v>
      </c>
      <c r="AG19" s="223">
        <f>+AE19-AF19</f>
        <v>400000000</v>
      </c>
      <c r="AH19" s="40"/>
      <c r="AI19" s="40">
        <v>200000000</v>
      </c>
    </row>
    <row r="20" spans="2:35" ht="36">
      <c r="B20" s="194"/>
      <c r="C20" s="196"/>
      <c r="D20" s="194"/>
      <c r="E20" s="232"/>
      <c r="F20" s="195"/>
      <c r="G20" s="195"/>
      <c r="H20" s="43" t="s">
        <v>346</v>
      </c>
      <c r="I20" s="44" t="s">
        <v>347</v>
      </c>
      <c r="J20" s="36" t="s">
        <v>15</v>
      </c>
      <c r="K20" s="72" t="s">
        <v>138</v>
      </c>
      <c r="L20" s="73" t="s">
        <v>26</v>
      </c>
      <c r="M20" s="37">
        <v>300</v>
      </c>
      <c r="N20" s="37">
        <v>400</v>
      </c>
      <c r="O20" s="37">
        <v>400</v>
      </c>
      <c r="P20" s="37">
        <v>1000</v>
      </c>
      <c r="Q20" s="38"/>
      <c r="R20" s="38"/>
      <c r="S20" s="38"/>
      <c r="T20" s="38">
        <v>400000000</v>
      </c>
      <c r="U20" s="38">
        <v>400000000</v>
      </c>
      <c r="V20" s="38"/>
      <c r="W20" s="38">
        <v>400000000</v>
      </c>
      <c r="X20" s="38"/>
      <c r="Y20" s="38"/>
      <c r="Z20" s="38">
        <v>400000000</v>
      </c>
      <c r="AA20" s="226"/>
      <c r="AB20" s="227"/>
      <c r="AC20" s="231"/>
      <c r="AD20" s="231"/>
      <c r="AE20" s="222"/>
      <c r="AF20" s="225"/>
      <c r="AG20" s="225"/>
      <c r="AH20" s="40"/>
      <c r="AI20" s="40"/>
    </row>
    <row r="21" spans="2:35" ht="54">
      <c r="B21" s="194"/>
      <c r="C21" s="196"/>
      <c r="D21" s="194"/>
      <c r="E21" s="232"/>
      <c r="F21" s="195" t="s">
        <v>175</v>
      </c>
      <c r="G21" s="195" t="s">
        <v>176</v>
      </c>
      <c r="H21" s="43" t="s">
        <v>348</v>
      </c>
      <c r="I21" s="44" t="s">
        <v>116</v>
      </c>
      <c r="J21" s="66" t="s">
        <v>118</v>
      </c>
      <c r="K21" s="66" t="s">
        <v>117</v>
      </c>
      <c r="L21" s="73">
        <v>1</v>
      </c>
      <c r="M21" s="73">
        <v>1</v>
      </c>
      <c r="N21" s="73">
        <v>1</v>
      </c>
      <c r="O21" s="73">
        <v>1</v>
      </c>
      <c r="P21" s="73">
        <v>1</v>
      </c>
      <c r="Q21" s="38">
        <v>100000000</v>
      </c>
      <c r="R21" s="38">
        <v>100000000</v>
      </c>
      <c r="S21" s="38"/>
      <c r="T21" s="38">
        <v>150000000</v>
      </c>
      <c r="U21" s="38">
        <v>150000000</v>
      </c>
      <c r="V21" s="38"/>
      <c r="W21" s="38">
        <v>150000000</v>
      </c>
      <c r="X21" s="38"/>
      <c r="Y21" s="38"/>
      <c r="Z21" s="38">
        <v>150000000</v>
      </c>
      <c r="AA21" s="226" t="s">
        <v>474</v>
      </c>
      <c r="AB21" s="227" t="s">
        <v>475</v>
      </c>
      <c r="AC21" s="216">
        <v>250000000</v>
      </c>
      <c r="AD21" s="216" t="s">
        <v>476</v>
      </c>
      <c r="AE21" s="220">
        <f>575000000+80000000</f>
        <v>655000000</v>
      </c>
      <c r="AF21" s="223">
        <f>100000000+150000000+400000000</f>
        <v>650000000</v>
      </c>
      <c r="AG21" s="228">
        <f>+AE21-AF21</f>
        <v>5000000</v>
      </c>
      <c r="AH21" s="40"/>
      <c r="AI21" s="40">
        <v>100000000</v>
      </c>
    </row>
    <row r="22" spans="2:35" ht="54">
      <c r="B22" s="194"/>
      <c r="C22" s="196"/>
      <c r="D22" s="194"/>
      <c r="E22" s="232"/>
      <c r="F22" s="195"/>
      <c r="G22" s="195"/>
      <c r="H22" s="43" t="s">
        <v>349</v>
      </c>
      <c r="I22" s="44" t="s">
        <v>350</v>
      </c>
      <c r="J22" s="36" t="s">
        <v>15</v>
      </c>
      <c r="K22" s="36">
        <v>4</v>
      </c>
      <c r="L22" s="36" t="s">
        <v>26</v>
      </c>
      <c r="M22" s="36">
        <v>1</v>
      </c>
      <c r="N22" s="36">
        <v>1</v>
      </c>
      <c r="O22" s="36" t="s">
        <v>26</v>
      </c>
      <c r="P22" s="36">
        <v>2</v>
      </c>
      <c r="Q22" s="38">
        <v>0</v>
      </c>
      <c r="R22" s="38">
        <v>0</v>
      </c>
      <c r="S22" s="38"/>
      <c r="T22" s="38">
        <v>100000000</v>
      </c>
      <c r="U22" s="38">
        <v>100000000</v>
      </c>
      <c r="V22" s="38"/>
      <c r="W22" s="38">
        <v>100000000</v>
      </c>
      <c r="X22" s="38"/>
      <c r="Y22" s="38"/>
      <c r="Z22" s="38">
        <v>0</v>
      </c>
      <c r="AA22" s="226"/>
      <c r="AB22" s="227"/>
      <c r="AC22" s="216"/>
      <c r="AD22" s="216"/>
      <c r="AE22" s="221"/>
      <c r="AF22" s="224"/>
      <c r="AG22" s="229"/>
      <c r="AH22" s="40"/>
      <c r="AI22" s="40"/>
    </row>
    <row r="23" spans="2:35" ht="72">
      <c r="B23" s="194"/>
      <c r="C23" s="196"/>
      <c r="D23" s="194"/>
      <c r="E23" s="232"/>
      <c r="F23" s="43" t="s">
        <v>177</v>
      </c>
      <c r="G23" s="43" t="s">
        <v>178</v>
      </c>
      <c r="H23" s="43" t="s">
        <v>447</v>
      </c>
      <c r="I23" s="44" t="s">
        <v>351</v>
      </c>
      <c r="J23" s="66" t="s">
        <v>29</v>
      </c>
      <c r="K23" s="36">
        <v>11</v>
      </c>
      <c r="L23" s="36">
        <v>12</v>
      </c>
      <c r="M23" s="36">
        <v>13</v>
      </c>
      <c r="N23" s="36">
        <v>14</v>
      </c>
      <c r="O23" s="36">
        <v>14</v>
      </c>
      <c r="P23" s="37">
        <v>14</v>
      </c>
      <c r="Q23" s="38">
        <v>150000000</v>
      </c>
      <c r="R23" s="38">
        <v>150000000</v>
      </c>
      <c r="S23" s="38"/>
      <c r="T23" s="38">
        <v>150000000</v>
      </c>
      <c r="U23" s="38">
        <v>150000000</v>
      </c>
      <c r="V23" s="38"/>
      <c r="W23" s="38">
        <v>150000000</v>
      </c>
      <c r="X23" s="38"/>
      <c r="Y23" s="38"/>
      <c r="Z23" s="38">
        <v>150000000</v>
      </c>
      <c r="AA23" s="226"/>
      <c r="AB23" s="227"/>
      <c r="AC23" s="216"/>
      <c r="AD23" s="216"/>
      <c r="AE23" s="222"/>
      <c r="AF23" s="225"/>
      <c r="AG23" s="230"/>
      <c r="AH23" s="40">
        <v>150000000</v>
      </c>
      <c r="AI23" s="40"/>
    </row>
    <row r="24" spans="2:35" ht="54">
      <c r="B24" s="194"/>
      <c r="C24" s="196"/>
      <c r="D24" s="194"/>
      <c r="E24" s="232"/>
      <c r="F24" s="195" t="s">
        <v>179</v>
      </c>
      <c r="G24" s="195" t="s">
        <v>10</v>
      </c>
      <c r="H24" s="43" t="s">
        <v>352</v>
      </c>
      <c r="I24" s="44" t="s">
        <v>353</v>
      </c>
      <c r="J24" s="36" t="s">
        <v>15</v>
      </c>
      <c r="K24" s="36">
        <v>1</v>
      </c>
      <c r="L24" s="36" t="s">
        <v>16</v>
      </c>
      <c r="M24" s="36" t="s">
        <v>16</v>
      </c>
      <c r="N24" s="36" t="s">
        <v>16</v>
      </c>
      <c r="O24" s="36">
        <v>1</v>
      </c>
      <c r="P24" s="36">
        <v>1</v>
      </c>
      <c r="Q24" s="38">
        <v>200000000</v>
      </c>
      <c r="R24" s="38">
        <v>200000000</v>
      </c>
      <c r="S24" s="38"/>
      <c r="T24" s="38">
        <v>400000000</v>
      </c>
      <c r="U24" s="38">
        <v>0</v>
      </c>
      <c r="V24" s="38"/>
      <c r="W24" s="38">
        <v>400000000</v>
      </c>
      <c r="X24" s="38"/>
      <c r="Y24" s="38"/>
      <c r="Z24" s="38">
        <v>450000000</v>
      </c>
      <c r="AA24" s="226" t="s">
        <v>478</v>
      </c>
      <c r="AB24" s="227" t="s">
        <v>477</v>
      </c>
      <c r="AC24" s="216">
        <v>660336154.04999995</v>
      </c>
      <c r="AD24" s="216" t="s">
        <v>465</v>
      </c>
      <c r="AE24" s="70">
        <v>0</v>
      </c>
      <c r="AF24" s="39"/>
      <c r="AG24" s="39"/>
      <c r="AH24" s="40"/>
      <c r="AI24" s="40"/>
    </row>
    <row r="25" spans="2:35" ht="54">
      <c r="B25" s="194"/>
      <c r="C25" s="196"/>
      <c r="D25" s="194"/>
      <c r="E25" s="232"/>
      <c r="F25" s="195"/>
      <c r="G25" s="195"/>
      <c r="H25" s="43" t="s">
        <v>354</v>
      </c>
      <c r="I25" s="44" t="s">
        <v>355</v>
      </c>
      <c r="J25" s="36" t="s">
        <v>7</v>
      </c>
      <c r="K25" s="73">
        <v>1</v>
      </c>
      <c r="L25" s="73">
        <v>1</v>
      </c>
      <c r="M25" s="73">
        <v>1</v>
      </c>
      <c r="N25" s="73">
        <v>1</v>
      </c>
      <c r="O25" s="73">
        <v>1</v>
      </c>
      <c r="P25" s="73">
        <v>1</v>
      </c>
      <c r="Q25" s="38">
        <f>660336154.05-200000000</f>
        <v>460336154.04999995</v>
      </c>
      <c r="R25" s="38">
        <f>660336154.05-200000000</f>
        <v>460336154.04999995</v>
      </c>
      <c r="S25" s="38"/>
      <c r="T25" s="38">
        <f>1046156000-400000000</f>
        <v>646156000</v>
      </c>
      <c r="U25" s="38">
        <v>1046156000</v>
      </c>
      <c r="V25" s="38"/>
      <c r="W25" s="38">
        <f>1424294277-400000000</f>
        <v>1024294277</v>
      </c>
      <c r="X25" s="38"/>
      <c r="Y25" s="38"/>
      <c r="Z25" s="38">
        <v>1445660000</v>
      </c>
      <c r="AA25" s="226"/>
      <c r="AB25" s="227"/>
      <c r="AC25" s="216"/>
      <c r="AD25" s="216"/>
      <c r="AE25" s="70">
        <v>900000000</v>
      </c>
      <c r="AF25" s="39">
        <v>660000000</v>
      </c>
      <c r="AG25" s="39">
        <f>+AE25-AF25</f>
        <v>240000000</v>
      </c>
      <c r="AH25" s="40">
        <v>660336154.04999995</v>
      </c>
      <c r="AI25" s="40"/>
    </row>
    <row r="26" spans="2:35" ht="90">
      <c r="B26" s="194"/>
      <c r="C26" s="196"/>
      <c r="D26" s="194"/>
      <c r="E26" s="232"/>
      <c r="F26" s="43" t="s">
        <v>180</v>
      </c>
      <c r="G26" s="43" t="s">
        <v>181</v>
      </c>
      <c r="H26" s="43" t="s">
        <v>356</v>
      </c>
      <c r="I26" s="44" t="s">
        <v>139</v>
      </c>
      <c r="J26" s="36" t="s">
        <v>15</v>
      </c>
      <c r="K26" s="74" t="s">
        <v>140</v>
      </c>
      <c r="L26" s="36" t="s">
        <v>26</v>
      </c>
      <c r="M26" s="36">
        <v>600</v>
      </c>
      <c r="N26" s="36">
        <v>600</v>
      </c>
      <c r="O26" s="36">
        <v>600</v>
      </c>
      <c r="P26" s="36">
        <f>+M26+N26+O26</f>
        <v>1800</v>
      </c>
      <c r="Q26" s="38">
        <v>0</v>
      </c>
      <c r="R26" s="38">
        <v>0</v>
      </c>
      <c r="S26" s="38"/>
      <c r="T26" s="38">
        <v>200000000</v>
      </c>
      <c r="U26" s="38">
        <v>200000000</v>
      </c>
      <c r="V26" s="38"/>
      <c r="W26" s="38">
        <v>200000000</v>
      </c>
      <c r="X26" s="38"/>
      <c r="Y26" s="38"/>
      <c r="Z26" s="38">
        <v>200000000</v>
      </c>
      <c r="AA26" s="226" t="s">
        <v>479</v>
      </c>
      <c r="AB26" s="227" t="s">
        <v>480</v>
      </c>
      <c r="AC26" s="233">
        <v>600000000</v>
      </c>
      <c r="AD26" s="216" t="s">
        <v>481</v>
      </c>
      <c r="AE26" s="220">
        <v>600000000</v>
      </c>
      <c r="AF26" s="223">
        <f>196400000+210000000+90000000</f>
        <v>496400000</v>
      </c>
      <c r="AG26" s="223">
        <f>+AE26-AF26</f>
        <v>103600000</v>
      </c>
      <c r="AH26" s="40"/>
      <c r="AI26" s="40"/>
    </row>
    <row r="27" spans="2:35" ht="72">
      <c r="B27" s="194"/>
      <c r="C27" s="196"/>
      <c r="D27" s="194"/>
      <c r="E27" s="232"/>
      <c r="F27" s="43" t="s">
        <v>182</v>
      </c>
      <c r="G27" s="43" t="s">
        <v>183</v>
      </c>
      <c r="H27" s="43" t="s">
        <v>357</v>
      </c>
      <c r="I27" s="44" t="s">
        <v>358</v>
      </c>
      <c r="J27" s="36" t="s">
        <v>15</v>
      </c>
      <c r="K27" s="36">
        <v>0</v>
      </c>
      <c r="L27" s="36" t="s">
        <v>26</v>
      </c>
      <c r="M27" s="36">
        <v>20</v>
      </c>
      <c r="N27" s="36">
        <v>15</v>
      </c>
      <c r="O27" s="36">
        <v>15</v>
      </c>
      <c r="P27" s="36">
        <v>50</v>
      </c>
      <c r="Q27" s="38">
        <v>0</v>
      </c>
      <c r="R27" s="38">
        <v>0</v>
      </c>
      <c r="S27" s="38"/>
      <c r="T27" s="38">
        <v>160000000</v>
      </c>
      <c r="U27" s="38">
        <v>160000000</v>
      </c>
      <c r="V27" s="38"/>
      <c r="W27" s="38">
        <v>160000000</v>
      </c>
      <c r="X27" s="38"/>
      <c r="Y27" s="38"/>
      <c r="Z27" s="38">
        <v>160000000</v>
      </c>
      <c r="AA27" s="226"/>
      <c r="AB27" s="227"/>
      <c r="AC27" s="233"/>
      <c r="AD27" s="216"/>
      <c r="AE27" s="221"/>
      <c r="AF27" s="224"/>
      <c r="AG27" s="224"/>
      <c r="AH27" s="40"/>
      <c r="AI27" s="40"/>
    </row>
    <row r="28" spans="2:35" ht="108">
      <c r="B28" s="194"/>
      <c r="C28" s="196"/>
      <c r="D28" s="194"/>
      <c r="E28" s="232"/>
      <c r="F28" s="43" t="s">
        <v>184</v>
      </c>
      <c r="G28" s="43" t="s">
        <v>185</v>
      </c>
      <c r="H28" s="43" t="s">
        <v>359</v>
      </c>
      <c r="I28" s="44" t="s">
        <v>360</v>
      </c>
      <c r="J28" s="36" t="s">
        <v>15</v>
      </c>
      <c r="K28" s="36">
        <v>6</v>
      </c>
      <c r="L28" s="36">
        <v>1.5</v>
      </c>
      <c r="M28" s="36">
        <v>1.5</v>
      </c>
      <c r="N28" s="36">
        <v>2</v>
      </c>
      <c r="O28" s="36">
        <v>1</v>
      </c>
      <c r="P28" s="36">
        <v>6</v>
      </c>
      <c r="Q28" s="38">
        <v>196400000</v>
      </c>
      <c r="R28" s="38">
        <v>196400000</v>
      </c>
      <c r="S28" s="38"/>
      <c r="T28" s="38">
        <v>150000000</v>
      </c>
      <c r="U28" s="38">
        <v>150000000</v>
      </c>
      <c r="V28" s="38"/>
      <c r="W28" s="38">
        <v>200000000</v>
      </c>
      <c r="X28" s="38"/>
      <c r="Y28" s="38"/>
      <c r="Z28" s="38">
        <v>100000000</v>
      </c>
      <c r="AA28" s="226"/>
      <c r="AB28" s="227"/>
      <c r="AC28" s="233"/>
      <c r="AD28" s="216"/>
      <c r="AE28" s="222"/>
      <c r="AF28" s="225"/>
      <c r="AG28" s="225"/>
      <c r="AH28" s="40"/>
      <c r="AI28" s="40">
        <v>196400000</v>
      </c>
    </row>
    <row r="29" spans="2:35" ht="126">
      <c r="B29" s="194"/>
      <c r="C29" s="196"/>
      <c r="D29" s="194"/>
      <c r="E29" s="232"/>
      <c r="F29" s="43" t="s">
        <v>186</v>
      </c>
      <c r="G29" s="43" t="s">
        <v>11</v>
      </c>
      <c r="H29" s="43" t="s">
        <v>361</v>
      </c>
      <c r="I29" s="44" t="s">
        <v>362</v>
      </c>
      <c r="J29" s="36" t="s">
        <v>15</v>
      </c>
      <c r="K29" s="36">
        <v>1</v>
      </c>
      <c r="L29" s="36">
        <v>1</v>
      </c>
      <c r="M29" s="36">
        <v>1.3</v>
      </c>
      <c r="N29" s="36">
        <v>0.7</v>
      </c>
      <c r="O29" s="36" t="s">
        <v>26</v>
      </c>
      <c r="P29" s="36">
        <v>0.8</v>
      </c>
      <c r="Q29" s="38">
        <f>240000000+110000000+60000000</f>
        <v>410000000</v>
      </c>
      <c r="R29" s="38">
        <v>410000000</v>
      </c>
      <c r="S29" s="38"/>
      <c r="T29" s="38">
        <v>400000000</v>
      </c>
      <c r="U29" s="38">
        <v>400000000</v>
      </c>
      <c r="V29" s="38"/>
      <c r="W29" s="38">
        <v>400000000</v>
      </c>
      <c r="X29" s="38"/>
      <c r="Y29" s="38"/>
      <c r="Z29" s="42"/>
      <c r="AA29" s="46" t="s">
        <v>549</v>
      </c>
      <c r="AB29" s="107" t="s">
        <v>548</v>
      </c>
      <c r="AC29" s="42">
        <v>500000000</v>
      </c>
      <c r="AD29" s="42" t="s">
        <v>482</v>
      </c>
      <c r="AE29" s="70">
        <f>350000000+60000000+90000000</f>
        <v>500000000</v>
      </c>
      <c r="AF29" s="39">
        <f>410000000</f>
        <v>410000000</v>
      </c>
      <c r="AG29" s="39">
        <f>+AE29-AF29</f>
        <v>90000000</v>
      </c>
      <c r="AH29" s="40"/>
      <c r="AI29" s="40">
        <v>410000000</v>
      </c>
    </row>
    <row r="30" spans="2:35" ht="108">
      <c r="B30" s="194"/>
      <c r="C30" s="196"/>
      <c r="D30" s="194"/>
      <c r="E30" s="232"/>
      <c r="F30" s="43" t="s">
        <v>187</v>
      </c>
      <c r="G30" s="43" t="s">
        <v>188</v>
      </c>
      <c r="H30" s="43" t="s">
        <v>363</v>
      </c>
      <c r="I30" s="44" t="s">
        <v>364</v>
      </c>
      <c r="J30" s="36" t="s">
        <v>15</v>
      </c>
      <c r="K30" s="66" t="s">
        <v>141</v>
      </c>
      <c r="L30" s="75">
        <v>1250</v>
      </c>
      <c r="M30" s="75">
        <v>1250</v>
      </c>
      <c r="N30" s="75">
        <v>1250</v>
      </c>
      <c r="O30" s="75">
        <v>1250</v>
      </c>
      <c r="P30" s="75">
        <v>5000</v>
      </c>
      <c r="Q30" s="42">
        <f>800000000+970000000</f>
        <v>1770000000</v>
      </c>
      <c r="R30" s="38">
        <v>800000000</v>
      </c>
      <c r="S30" s="38">
        <v>970000000</v>
      </c>
      <c r="T30" s="38">
        <v>1450000000</v>
      </c>
      <c r="U30" s="38">
        <v>550000000</v>
      </c>
      <c r="V30" s="38">
        <f>+T30-U30</f>
        <v>900000000</v>
      </c>
      <c r="W30" s="38">
        <v>1450000000</v>
      </c>
      <c r="X30" s="38">
        <v>550000000</v>
      </c>
      <c r="Y30" s="38">
        <f>+W30-X30</f>
        <v>900000000</v>
      </c>
      <c r="Z30" s="38">
        <v>600000000</v>
      </c>
      <c r="AA30" s="51" t="s">
        <v>484</v>
      </c>
      <c r="AB30" s="52" t="s">
        <v>483</v>
      </c>
      <c r="AC30" s="38">
        <v>800000000</v>
      </c>
      <c r="AD30" s="38" t="s">
        <v>485</v>
      </c>
      <c r="AE30" s="70">
        <v>800000000</v>
      </c>
      <c r="AF30" s="39">
        <f>800000000-230000000</f>
        <v>570000000</v>
      </c>
      <c r="AG30" s="39">
        <f>+AE30-AF30</f>
        <v>230000000</v>
      </c>
      <c r="AH30" s="40"/>
      <c r="AI30" s="40">
        <v>800000000</v>
      </c>
    </row>
    <row r="31" spans="2:35" ht="72">
      <c r="B31" s="194"/>
      <c r="C31" s="196"/>
      <c r="D31" s="194"/>
      <c r="E31" s="232"/>
      <c r="F31" s="43" t="s">
        <v>189</v>
      </c>
      <c r="G31" s="43" t="s">
        <v>190</v>
      </c>
      <c r="H31" s="43" t="s">
        <v>365</v>
      </c>
      <c r="I31" s="44" t="s">
        <v>366</v>
      </c>
      <c r="J31" s="66" t="s">
        <v>28</v>
      </c>
      <c r="K31" s="36">
        <v>0</v>
      </c>
      <c r="L31" s="36" t="s">
        <v>26</v>
      </c>
      <c r="M31" s="36">
        <v>0.3</v>
      </c>
      <c r="N31" s="36" t="s">
        <v>142</v>
      </c>
      <c r="O31" s="36">
        <v>1</v>
      </c>
      <c r="P31" s="36">
        <v>2</v>
      </c>
      <c r="Q31" s="38">
        <v>0</v>
      </c>
      <c r="R31" s="38">
        <v>0</v>
      </c>
      <c r="S31" s="38"/>
      <c r="T31" s="38">
        <v>180000000</v>
      </c>
      <c r="U31" s="38">
        <v>180000000</v>
      </c>
      <c r="V31" s="38"/>
      <c r="W31" s="38">
        <v>210000000</v>
      </c>
      <c r="X31" s="38"/>
      <c r="Y31" s="38"/>
      <c r="Z31" s="38">
        <v>210000000</v>
      </c>
      <c r="AA31" s="51" t="s">
        <v>508</v>
      </c>
      <c r="AB31" s="52" t="s">
        <v>509</v>
      </c>
      <c r="AC31" s="216">
        <v>3518001742.2800002</v>
      </c>
      <c r="AD31" s="231" t="s">
        <v>486</v>
      </c>
      <c r="AE31" s="76">
        <v>0</v>
      </c>
      <c r="AF31" s="77">
        <v>0</v>
      </c>
      <c r="AG31" s="77">
        <f>+AE31-AF31</f>
        <v>0</v>
      </c>
      <c r="AH31" s="38"/>
      <c r="AI31" s="38"/>
    </row>
    <row r="32" spans="2:35" ht="54">
      <c r="B32" s="194"/>
      <c r="C32" s="196"/>
      <c r="D32" s="194"/>
      <c r="E32" s="232"/>
      <c r="F32" s="43" t="s">
        <v>191</v>
      </c>
      <c r="G32" s="43" t="s">
        <v>12</v>
      </c>
      <c r="H32" s="43" t="s">
        <v>367</v>
      </c>
      <c r="I32" s="44" t="s">
        <v>368</v>
      </c>
      <c r="J32" s="36" t="s">
        <v>15</v>
      </c>
      <c r="K32" s="36" t="s">
        <v>52</v>
      </c>
      <c r="L32" s="75">
        <v>50000</v>
      </c>
      <c r="M32" s="75">
        <v>150000</v>
      </c>
      <c r="N32" s="75">
        <v>150000</v>
      </c>
      <c r="O32" s="75">
        <v>150000</v>
      </c>
      <c r="P32" s="75">
        <v>500000</v>
      </c>
      <c r="Q32" s="38">
        <v>200000000</v>
      </c>
      <c r="R32" s="38">
        <v>200000000</v>
      </c>
      <c r="S32" s="38"/>
      <c r="T32" s="38">
        <v>200000000</v>
      </c>
      <c r="U32" s="38">
        <v>200000000</v>
      </c>
      <c r="V32" s="38"/>
      <c r="W32" s="38">
        <v>200000000</v>
      </c>
      <c r="X32" s="38"/>
      <c r="Y32" s="38"/>
      <c r="Z32" s="38">
        <v>200000000</v>
      </c>
      <c r="AA32" s="51" t="s">
        <v>551</v>
      </c>
      <c r="AB32" s="52" t="s">
        <v>550</v>
      </c>
      <c r="AC32" s="216"/>
      <c r="AD32" s="231"/>
      <c r="AE32" s="70"/>
      <c r="AF32" s="39"/>
      <c r="AG32" s="39"/>
      <c r="AH32" s="40"/>
      <c r="AI32" s="40">
        <v>200000000</v>
      </c>
    </row>
    <row r="33" spans="2:35" ht="90">
      <c r="B33" s="194"/>
      <c r="C33" s="196"/>
      <c r="D33" s="194"/>
      <c r="E33" s="232"/>
      <c r="F33" s="198" t="s">
        <v>192</v>
      </c>
      <c r="G33" s="195" t="s">
        <v>193</v>
      </c>
      <c r="H33" s="43" t="s">
        <v>369</v>
      </c>
      <c r="I33" s="44" t="s">
        <v>370</v>
      </c>
      <c r="J33" s="36" t="s">
        <v>15</v>
      </c>
      <c r="K33" s="36" t="s">
        <v>51</v>
      </c>
      <c r="L33" s="66" t="s">
        <v>114</v>
      </c>
      <c r="M33" s="36">
        <v>750</v>
      </c>
      <c r="N33" s="36">
        <v>750</v>
      </c>
      <c r="O33" s="36">
        <v>750</v>
      </c>
      <c r="P33" s="75">
        <v>2500</v>
      </c>
      <c r="Q33" s="38">
        <f>1500000000+280587500</f>
        <v>1780587500</v>
      </c>
      <c r="R33" s="38">
        <v>1780587500</v>
      </c>
      <c r="S33" s="38"/>
      <c r="T33" s="38">
        <v>1300000000</v>
      </c>
      <c r="U33" s="38">
        <v>1300000000</v>
      </c>
      <c r="V33" s="38"/>
      <c r="W33" s="38">
        <v>1300000000</v>
      </c>
      <c r="X33" s="38"/>
      <c r="Y33" s="38"/>
      <c r="Z33" s="38">
        <f>2000000000</f>
        <v>2000000000</v>
      </c>
      <c r="AA33" s="257" t="s">
        <v>463</v>
      </c>
      <c r="AB33" s="248" t="s">
        <v>464</v>
      </c>
      <c r="AC33" s="216"/>
      <c r="AD33" s="231"/>
      <c r="AE33" s="70">
        <f>3308001742.28+210000000</f>
        <v>3518001742.2800002</v>
      </c>
      <c r="AF33" s="39">
        <f>280587500+200000000+250000000+1500000000+450000000+435000000+400000000</f>
        <v>3515587500</v>
      </c>
      <c r="AG33" s="39">
        <f>+AE33-AF33</f>
        <v>2414242.2800002098</v>
      </c>
      <c r="AH33" s="40"/>
      <c r="AI33" s="40">
        <v>1780587500</v>
      </c>
    </row>
    <row r="34" spans="2:35" ht="72">
      <c r="B34" s="194"/>
      <c r="C34" s="196"/>
      <c r="D34" s="194"/>
      <c r="E34" s="232"/>
      <c r="F34" s="198"/>
      <c r="G34" s="195"/>
      <c r="H34" s="43" t="s">
        <v>371</v>
      </c>
      <c r="I34" s="44" t="s">
        <v>372</v>
      </c>
      <c r="J34" s="66" t="s">
        <v>28</v>
      </c>
      <c r="K34" s="36">
        <v>0</v>
      </c>
      <c r="L34" s="36">
        <v>2</v>
      </c>
      <c r="M34" s="36">
        <v>2</v>
      </c>
      <c r="N34" s="36">
        <v>2</v>
      </c>
      <c r="O34" s="36">
        <v>2</v>
      </c>
      <c r="P34" s="36">
        <v>2</v>
      </c>
      <c r="Q34" s="38">
        <v>250000000</v>
      </c>
      <c r="R34" s="38">
        <v>250000000</v>
      </c>
      <c r="S34" s="38"/>
      <c r="T34" s="38">
        <v>250000000</v>
      </c>
      <c r="U34" s="38">
        <v>250000000</v>
      </c>
      <c r="V34" s="38"/>
      <c r="W34" s="38">
        <v>250000000</v>
      </c>
      <c r="X34" s="38"/>
      <c r="Y34" s="38"/>
      <c r="Z34" s="38">
        <v>250000000</v>
      </c>
      <c r="AA34" s="259"/>
      <c r="AB34" s="260"/>
      <c r="AC34" s="216"/>
      <c r="AD34" s="231"/>
      <c r="AE34" s="70"/>
      <c r="AF34" s="39"/>
      <c r="AG34" s="39"/>
      <c r="AH34" s="40"/>
      <c r="AI34" s="40">
        <v>250000000</v>
      </c>
    </row>
    <row r="35" spans="2:35" ht="54">
      <c r="B35" s="194"/>
      <c r="C35" s="196"/>
      <c r="D35" s="194"/>
      <c r="E35" s="232"/>
      <c r="F35" s="65" t="s">
        <v>194</v>
      </c>
      <c r="G35" s="43" t="s">
        <v>195</v>
      </c>
      <c r="H35" s="43" t="s">
        <v>373</v>
      </c>
      <c r="I35" s="44" t="s">
        <v>374</v>
      </c>
      <c r="J35" s="36" t="s">
        <v>15</v>
      </c>
      <c r="K35" s="74">
        <v>1</v>
      </c>
      <c r="L35" s="36" t="s">
        <v>26</v>
      </c>
      <c r="M35" s="36" t="s">
        <v>26</v>
      </c>
      <c r="N35" s="78">
        <v>0.5</v>
      </c>
      <c r="O35" s="78">
        <v>0.5</v>
      </c>
      <c r="P35" s="75">
        <v>1</v>
      </c>
      <c r="Q35" s="38">
        <v>0</v>
      </c>
      <c r="R35" s="38">
        <v>0</v>
      </c>
      <c r="S35" s="38"/>
      <c r="T35" s="40">
        <v>0</v>
      </c>
      <c r="U35" s="40">
        <v>0</v>
      </c>
      <c r="V35" s="40"/>
      <c r="W35" s="40">
        <v>400000000</v>
      </c>
      <c r="X35" s="40"/>
      <c r="Y35" s="38"/>
      <c r="Z35" s="38">
        <v>400000000</v>
      </c>
      <c r="AA35" s="51" t="s">
        <v>479</v>
      </c>
      <c r="AB35" s="52" t="s">
        <v>480</v>
      </c>
      <c r="AC35" s="38"/>
      <c r="AD35" s="38"/>
      <c r="AE35" s="70"/>
      <c r="AF35" s="39"/>
      <c r="AG35" s="39"/>
      <c r="AH35" s="40"/>
      <c r="AI35" s="40"/>
    </row>
    <row r="36" spans="2:35" ht="72">
      <c r="B36" s="194"/>
      <c r="C36" s="196"/>
      <c r="D36" s="194"/>
      <c r="E36" s="214" t="s">
        <v>206</v>
      </c>
      <c r="F36" s="65" t="s">
        <v>196</v>
      </c>
      <c r="G36" s="43" t="s">
        <v>197</v>
      </c>
      <c r="H36" s="43" t="s">
        <v>375</v>
      </c>
      <c r="I36" s="44" t="s">
        <v>376</v>
      </c>
      <c r="J36" s="36" t="s">
        <v>15</v>
      </c>
      <c r="K36" s="36">
        <v>0</v>
      </c>
      <c r="L36" s="36">
        <v>0.2</v>
      </c>
      <c r="M36" s="36">
        <v>0.8</v>
      </c>
      <c r="N36" s="36" t="s">
        <v>26</v>
      </c>
      <c r="O36" s="36" t="s">
        <v>26</v>
      </c>
      <c r="P36" s="36">
        <v>1</v>
      </c>
      <c r="Q36" s="38">
        <v>300000000</v>
      </c>
      <c r="R36" s="38">
        <v>300000000</v>
      </c>
      <c r="S36" s="38"/>
      <c r="T36" s="38">
        <v>250000000</v>
      </c>
      <c r="U36" s="38">
        <v>250000000</v>
      </c>
      <c r="V36" s="38"/>
      <c r="W36" s="38">
        <v>0</v>
      </c>
      <c r="X36" s="38"/>
      <c r="Y36" s="38"/>
      <c r="Z36" s="38">
        <v>0</v>
      </c>
      <c r="AA36" s="257" t="s">
        <v>552</v>
      </c>
      <c r="AB36" s="248" t="s">
        <v>553</v>
      </c>
      <c r="AC36" s="38">
        <v>300000000</v>
      </c>
      <c r="AD36" s="38" t="s">
        <v>465</v>
      </c>
      <c r="AE36" s="79">
        <v>150000000</v>
      </c>
      <c r="AF36" s="39">
        <v>300000000</v>
      </c>
      <c r="AG36" s="39">
        <f>+AE36-AF36</f>
        <v>-150000000</v>
      </c>
      <c r="AH36" s="40"/>
      <c r="AI36" s="40">
        <v>300000000</v>
      </c>
    </row>
    <row r="37" spans="2:35" ht="72">
      <c r="B37" s="194"/>
      <c r="C37" s="196"/>
      <c r="D37" s="194"/>
      <c r="E37" s="214"/>
      <c r="F37" s="65" t="s">
        <v>198</v>
      </c>
      <c r="G37" s="43" t="s">
        <v>199</v>
      </c>
      <c r="H37" s="43" t="s">
        <v>377</v>
      </c>
      <c r="I37" s="44" t="s">
        <v>378</v>
      </c>
      <c r="J37" s="66" t="s">
        <v>25</v>
      </c>
      <c r="K37" s="36">
        <v>0</v>
      </c>
      <c r="L37" s="36">
        <v>1</v>
      </c>
      <c r="M37" s="36">
        <v>1</v>
      </c>
      <c r="N37" s="36">
        <v>1</v>
      </c>
      <c r="O37" s="36">
        <v>1</v>
      </c>
      <c r="P37" s="36">
        <v>1</v>
      </c>
      <c r="Q37" s="38">
        <v>450000000</v>
      </c>
      <c r="R37" s="38">
        <v>450000000</v>
      </c>
      <c r="S37" s="38"/>
      <c r="T37" s="38">
        <v>400000000</v>
      </c>
      <c r="U37" s="38">
        <v>400000000</v>
      </c>
      <c r="V37" s="38"/>
      <c r="W37" s="38">
        <v>400000000</v>
      </c>
      <c r="X37" s="38"/>
      <c r="Y37" s="38"/>
      <c r="Z37" s="38">
        <v>400000000</v>
      </c>
      <c r="AA37" s="259"/>
      <c r="AB37" s="260"/>
      <c r="AC37" s="38">
        <v>400000000</v>
      </c>
      <c r="AD37" s="38" t="s">
        <v>465</v>
      </c>
      <c r="AE37" s="70"/>
      <c r="AF37" s="39"/>
      <c r="AG37" s="39"/>
      <c r="AH37" s="40">
        <v>450000000</v>
      </c>
      <c r="AI37" s="40"/>
    </row>
    <row r="38" spans="2:35" ht="72">
      <c r="B38" s="194"/>
      <c r="C38" s="196"/>
      <c r="D38" s="194"/>
      <c r="E38" s="214"/>
      <c r="F38" s="65" t="s">
        <v>200</v>
      </c>
      <c r="G38" s="43" t="s">
        <v>201</v>
      </c>
      <c r="H38" s="43" t="s">
        <v>379</v>
      </c>
      <c r="I38" s="44" t="s">
        <v>380</v>
      </c>
      <c r="J38" s="36" t="s">
        <v>15</v>
      </c>
      <c r="K38" s="36">
        <v>1</v>
      </c>
      <c r="L38" s="36" t="s">
        <v>26</v>
      </c>
      <c r="M38" s="36">
        <v>0.5</v>
      </c>
      <c r="N38" s="36">
        <v>0.5</v>
      </c>
      <c r="O38" s="36" t="s">
        <v>26</v>
      </c>
      <c r="P38" s="36">
        <v>1</v>
      </c>
      <c r="Q38" s="38">
        <v>0</v>
      </c>
      <c r="R38" s="38">
        <v>0</v>
      </c>
      <c r="S38" s="38"/>
      <c r="T38" s="38">
        <v>200000000</v>
      </c>
      <c r="U38" s="38">
        <v>200000000</v>
      </c>
      <c r="V38" s="38"/>
      <c r="W38" s="38">
        <v>200000000</v>
      </c>
      <c r="X38" s="38"/>
      <c r="Y38" s="38"/>
      <c r="Z38" s="38">
        <v>0</v>
      </c>
      <c r="AA38" s="257" t="s">
        <v>540</v>
      </c>
      <c r="AB38" s="248" t="s">
        <v>539</v>
      </c>
      <c r="AC38" s="38"/>
      <c r="AD38" s="38"/>
      <c r="AE38" s="70"/>
      <c r="AF38" s="39"/>
      <c r="AG38" s="39"/>
      <c r="AH38" s="40"/>
      <c r="AI38" s="40"/>
    </row>
    <row r="39" spans="2:35" ht="54">
      <c r="B39" s="194"/>
      <c r="C39" s="196"/>
      <c r="D39" s="194"/>
      <c r="E39" s="214"/>
      <c r="F39" s="65" t="s">
        <v>202</v>
      </c>
      <c r="G39" s="43" t="s">
        <v>203</v>
      </c>
      <c r="H39" s="43" t="s">
        <v>381</v>
      </c>
      <c r="I39" s="44" t="s">
        <v>382</v>
      </c>
      <c r="J39" s="36" t="s">
        <v>15</v>
      </c>
      <c r="K39" s="36">
        <v>0</v>
      </c>
      <c r="L39" s="36" t="s">
        <v>26</v>
      </c>
      <c r="M39" s="36">
        <v>1</v>
      </c>
      <c r="N39" s="36" t="s">
        <v>26</v>
      </c>
      <c r="O39" s="36" t="s">
        <v>26</v>
      </c>
      <c r="P39" s="36">
        <v>1</v>
      </c>
      <c r="Q39" s="38">
        <v>0</v>
      </c>
      <c r="R39" s="38">
        <v>0</v>
      </c>
      <c r="S39" s="38"/>
      <c r="T39" s="38">
        <v>200000000</v>
      </c>
      <c r="U39" s="38">
        <v>200000000</v>
      </c>
      <c r="V39" s="38"/>
      <c r="W39" s="38">
        <v>0</v>
      </c>
      <c r="X39" s="38"/>
      <c r="Y39" s="38"/>
      <c r="Z39" s="38">
        <v>0</v>
      </c>
      <c r="AA39" s="259"/>
      <c r="AB39" s="260"/>
      <c r="AC39" s="38"/>
      <c r="AD39" s="38"/>
      <c r="AE39" s="70"/>
      <c r="AF39" s="39"/>
      <c r="AG39" s="39"/>
      <c r="AH39" s="40"/>
      <c r="AI39" s="40"/>
    </row>
    <row r="40" spans="2:35" ht="90">
      <c r="B40" s="234" t="s">
        <v>204</v>
      </c>
      <c r="C40" s="194" t="s">
        <v>215</v>
      </c>
      <c r="D40" s="195" t="s">
        <v>216</v>
      </c>
      <c r="E40" s="217" t="s">
        <v>217</v>
      </c>
      <c r="F40" s="44" t="s">
        <v>207</v>
      </c>
      <c r="G40" s="43" t="s">
        <v>208</v>
      </c>
      <c r="H40" s="43" t="s">
        <v>383</v>
      </c>
      <c r="I40" s="43" t="s">
        <v>384</v>
      </c>
      <c r="J40" s="66" t="s">
        <v>15</v>
      </c>
      <c r="K40" s="36">
        <v>84</v>
      </c>
      <c r="L40" s="37">
        <v>60</v>
      </c>
      <c r="M40" s="37">
        <v>70</v>
      </c>
      <c r="N40" s="37">
        <v>70</v>
      </c>
      <c r="O40" s="37">
        <v>73</v>
      </c>
      <c r="P40" s="37">
        <v>273</v>
      </c>
      <c r="Q40" s="38">
        <v>421000000</v>
      </c>
      <c r="R40" s="38">
        <v>421000000</v>
      </c>
      <c r="S40" s="38"/>
      <c r="T40" s="38">
        <v>400000000</v>
      </c>
      <c r="U40" s="38">
        <v>400000000</v>
      </c>
      <c r="V40" s="38"/>
      <c r="W40" s="38">
        <v>450000000</v>
      </c>
      <c r="X40" s="38"/>
      <c r="Y40" s="38"/>
      <c r="Z40" s="38">
        <v>450000000</v>
      </c>
      <c r="AA40" s="226" t="s">
        <v>487</v>
      </c>
      <c r="AB40" s="227" t="s">
        <v>488</v>
      </c>
      <c r="AC40" s="216">
        <v>5120000000</v>
      </c>
      <c r="AD40" s="227" t="s">
        <v>489</v>
      </c>
      <c r="AE40" s="220">
        <f>5246656806.69+2900000000</f>
        <v>8146656806.6899996</v>
      </c>
      <c r="AF40" s="223">
        <f>2900000000+1099790000+300000000+400000000+500000000+100000000+200000000+350000000+250000000+200000000+500000000+800000000+400000000+41000000+47763881.13+217702031</f>
        <v>8306255912.1300001</v>
      </c>
      <c r="AG40" s="223">
        <f>+AE40-AF40</f>
        <v>-159599105.44000053</v>
      </c>
      <c r="AH40" s="40">
        <v>421000000</v>
      </c>
      <c r="AI40" s="40"/>
    </row>
    <row r="41" spans="2:35" ht="108">
      <c r="B41" s="235"/>
      <c r="C41" s="194"/>
      <c r="D41" s="195"/>
      <c r="E41" s="218"/>
      <c r="F41" s="44" t="s">
        <v>209</v>
      </c>
      <c r="G41" s="43" t="s">
        <v>210</v>
      </c>
      <c r="H41" s="43" t="s">
        <v>385</v>
      </c>
      <c r="I41" s="44" t="s">
        <v>386</v>
      </c>
      <c r="J41" s="36" t="s">
        <v>15</v>
      </c>
      <c r="K41" s="66" t="s">
        <v>295</v>
      </c>
      <c r="L41" s="80" t="s">
        <v>296</v>
      </c>
      <c r="M41" s="80" t="s">
        <v>297</v>
      </c>
      <c r="N41" s="80" t="s">
        <v>298</v>
      </c>
      <c r="O41" s="80" t="s">
        <v>298</v>
      </c>
      <c r="P41" s="80" t="s">
        <v>299</v>
      </c>
      <c r="Q41" s="38">
        <f>3100000000+1099790000</f>
        <v>4199790000</v>
      </c>
      <c r="R41" s="38">
        <f>3100000000+1099790000</f>
        <v>4199790000</v>
      </c>
      <c r="S41" s="38"/>
      <c r="T41" s="38">
        <v>4000000000</v>
      </c>
      <c r="U41" s="38">
        <v>4000000000</v>
      </c>
      <c r="V41" s="38"/>
      <c r="W41" s="38">
        <v>4000000000</v>
      </c>
      <c r="X41" s="38"/>
      <c r="Y41" s="38"/>
      <c r="Z41" s="38">
        <v>4100000000</v>
      </c>
      <c r="AA41" s="226"/>
      <c r="AB41" s="227"/>
      <c r="AC41" s="216"/>
      <c r="AD41" s="227"/>
      <c r="AE41" s="221"/>
      <c r="AF41" s="224"/>
      <c r="AG41" s="224"/>
      <c r="AH41" s="40"/>
      <c r="AI41" s="40">
        <v>4199790000</v>
      </c>
    </row>
    <row r="42" spans="2:35" ht="108">
      <c r="B42" s="235"/>
      <c r="C42" s="194"/>
      <c r="D42" s="195"/>
      <c r="E42" s="218"/>
      <c r="F42" s="196" t="s">
        <v>211</v>
      </c>
      <c r="G42" s="195" t="s">
        <v>212</v>
      </c>
      <c r="H42" s="43" t="s">
        <v>387</v>
      </c>
      <c r="I42" s="44" t="s">
        <v>388</v>
      </c>
      <c r="J42" s="36" t="s">
        <v>15</v>
      </c>
      <c r="K42" s="75">
        <v>5000</v>
      </c>
      <c r="L42" s="75">
        <v>2500</v>
      </c>
      <c r="M42" s="75">
        <v>2500</v>
      </c>
      <c r="N42" s="75">
        <v>2500</v>
      </c>
      <c r="O42" s="75">
        <v>2500</v>
      </c>
      <c r="P42" s="75">
        <v>10000</v>
      </c>
      <c r="Q42" s="38">
        <v>300000000</v>
      </c>
      <c r="R42" s="38">
        <v>300000000</v>
      </c>
      <c r="S42" s="38"/>
      <c r="T42" s="38">
        <v>300000000</v>
      </c>
      <c r="U42" s="38">
        <v>300000000</v>
      </c>
      <c r="V42" s="38"/>
      <c r="W42" s="38">
        <v>300000000</v>
      </c>
      <c r="X42" s="38"/>
      <c r="Y42" s="38"/>
      <c r="Z42" s="38">
        <v>500000000</v>
      </c>
      <c r="AA42" s="226"/>
      <c r="AB42" s="227"/>
      <c r="AC42" s="216"/>
      <c r="AD42" s="227"/>
      <c r="AE42" s="221"/>
      <c r="AF42" s="224"/>
      <c r="AG42" s="224"/>
      <c r="AH42" s="40"/>
      <c r="AI42" s="40">
        <v>300000000</v>
      </c>
    </row>
    <row r="43" spans="2:35" ht="72">
      <c r="B43" s="235"/>
      <c r="C43" s="194"/>
      <c r="D43" s="195"/>
      <c r="E43" s="218"/>
      <c r="F43" s="196"/>
      <c r="G43" s="195"/>
      <c r="H43" s="43" t="s">
        <v>389</v>
      </c>
      <c r="I43" s="44" t="s">
        <v>300</v>
      </c>
      <c r="J43" s="66" t="s">
        <v>28</v>
      </c>
      <c r="K43" s="66">
        <v>1251</v>
      </c>
      <c r="L43" s="66" t="s">
        <v>301</v>
      </c>
      <c r="M43" s="66" t="s">
        <v>302</v>
      </c>
      <c r="N43" s="66" t="s">
        <v>303</v>
      </c>
      <c r="O43" s="66" t="s">
        <v>304</v>
      </c>
      <c r="P43" s="74" t="s">
        <v>305</v>
      </c>
      <c r="Q43" s="38">
        <v>200000000</v>
      </c>
      <c r="R43" s="38">
        <v>200000000</v>
      </c>
      <c r="S43" s="38"/>
      <c r="T43" s="38">
        <v>200000000</v>
      </c>
      <c r="U43" s="38">
        <v>200000000</v>
      </c>
      <c r="V43" s="38"/>
      <c r="W43" s="38">
        <v>200000000</v>
      </c>
      <c r="X43" s="38"/>
      <c r="Y43" s="38"/>
      <c r="Z43" s="38">
        <v>250000000</v>
      </c>
      <c r="AA43" s="226"/>
      <c r="AB43" s="227"/>
      <c r="AC43" s="216"/>
      <c r="AD43" s="227"/>
      <c r="AE43" s="221"/>
      <c r="AF43" s="224"/>
      <c r="AG43" s="224"/>
      <c r="AH43" s="40"/>
      <c r="AI43" s="40">
        <v>200000000</v>
      </c>
    </row>
    <row r="44" spans="2:35" ht="90">
      <c r="B44" s="236"/>
      <c r="C44" s="194"/>
      <c r="D44" s="195"/>
      <c r="E44" s="219"/>
      <c r="F44" s="44" t="s">
        <v>213</v>
      </c>
      <c r="G44" s="43" t="s">
        <v>214</v>
      </c>
      <c r="H44" s="43" t="s">
        <v>390</v>
      </c>
      <c r="I44" s="44" t="s">
        <v>130</v>
      </c>
      <c r="J44" s="36" t="s">
        <v>15</v>
      </c>
      <c r="K44" s="37">
        <v>4680</v>
      </c>
      <c r="L44" s="81">
        <v>3000</v>
      </c>
      <c r="M44" s="80">
        <v>3000</v>
      </c>
      <c r="N44" s="80">
        <v>3000</v>
      </c>
      <c r="O44" s="80">
        <v>1000</v>
      </c>
      <c r="P44" s="37">
        <v>10000</v>
      </c>
      <c r="Q44" s="38">
        <f>2900000000+20000000</f>
        <v>2920000000</v>
      </c>
      <c r="R44" s="38">
        <f>2900000000+20000000</f>
        <v>2920000000</v>
      </c>
      <c r="S44" s="38"/>
      <c r="T44" s="38">
        <f>+U44+V44</f>
        <v>3142000000</v>
      </c>
      <c r="U44" s="42">
        <v>400000000</v>
      </c>
      <c r="V44" s="38">
        <v>2742000000</v>
      </c>
      <c r="W44" s="38">
        <v>400000000</v>
      </c>
      <c r="X44" s="38"/>
      <c r="Y44" s="38"/>
      <c r="Z44" s="38">
        <v>400000000</v>
      </c>
      <c r="AA44" s="51" t="s">
        <v>490</v>
      </c>
      <c r="AB44" s="52" t="s">
        <v>491</v>
      </c>
      <c r="AC44" s="41">
        <f>153779215.84+2900000000</f>
        <v>3053779215.8400002</v>
      </c>
      <c r="AD44" s="52" t="s">
        <v>492</v>
      </c>
      <c r="AE44" s="221"/>
      <c r="AF44" s="224"/>
      <c r="AG44" s="224"/>
      <c r="AH44" s="40"/>
      <c r="AI44" s="40">
        <v>2920000000</v>
      </c>
    </row>
    <row r="45" spans="2:35" ht="126">
      <c r="B45" s="196" t="s">
        <v>204</v>
      </c>
      <c r="C45" s="196" t="s">
        <v>17</v>
      </c>
      <c r="D45" s="196" t="s">
        <v>101</v>
      </c>
      <c r="E45" s="87" t="s">
        <v>228</v>
      </c>
      <c r="F45" s="43" t="s">
        <v>218</v>
      </c>
      <c r="G45" s="43" t="s">
        <v>219</v>
      </c>
      <c r="H45" s="43" t="s">
        <v>391</v>
      </c>
      <c r="I45" s="44" t="s">
        <v>132</v>
      </c>
      <c r="J45" s="36" t="s">
        <v>15</v>
      </c>
      <c r="K45" s="74">
        <v>4713</v>
      </c>
      <c r="L45" s="36">
        <v>700</v>
      </c>
      <c r="M45" s="36">
        <v>2000</v>
      </c>
      <c r="N45" s="36">
        <v>2000</v>
      </c>
      <c r="O45" s="36">
        <v>1300</v>
      </c>
      <c r="P45" s="75">
        <v>6000</v>
      </c>
      <c r="Q45" s="45">
        <f>488000000+100000000+400000000+300000000+300000000+577000000+337000000</f>
        <v>2502000000</v>
      </c>
      <c r="R45" s="41">
        <f>488000000+100000000+400000000+300000000+300000000+337000000</f>
        <v>1925000000</v>
      </c>
      <c r="S45" s="41">
        <v>577000000</v>
      </c>
      <c r="T45" s="88">
        <v>1700000000</v>
      </c>
      <c r="U45" s="88">
        <v>1700000000</v>
      </c>
      <c r="V45" s="88"/>
      <c r="W45" s="88">
        <v>1700000000</v>
      </c>
      <c r="X45" s="88"/>
      <c r="Y45" s="88"/>
      <c r="Z45" s="88">
        <v>2600000000</v>
      </c>
      <c r="AA45" s="89" t="s">
        <v>503</v>
      </c>
      <c r="AB45" s="52" t="s">
        <v>505</v>
      </c>
      <c r="AC45" s="88"/>
      <c r="AD45" s="88"/>
      <c r="AE45" s="38">
        <v>2796412200</v>
      </c>
      <c r="AF45" s="38">
        <f>180000000+500000000+488000000+337000000+300000000+300000000+300000000+300000000+100000000+155503900</f>
        <v>2960503900</v>
      </c>
      <c r="AG45" s="90">
        <f>+AE45-AF45</f>
        <v>-164091700</v>
      </c>
      <c r="AH45" s="40">
        <v>110000000</v>
      </c>
      <c r="AI45" s="40">
        <f>+R45-AH45</f>
        <v>1815000000</v>
      </c>
    </row>
    <row r="46" spans="2:35" ht="72">
      <c r="B46" s="196"/>
      <c r="C46" s="196"/>
      <c r="D46" s="196"/>
      <c r="E46" s="213" t="s">
        <v>229</v>
      </c>
      <c r="F46" s="195" t="s">
        <v>220</v>
      </c>
      <c r="G46" s="195" t="s">
        <v>221</v>
      </c>
      <c r="H46" s="43" t="s">
        <v>392</v>
      </c>
      <c r="I46" s="44" t="s">
        <v>33</v>
      </c>
      <c r="J46" s="36" t="s">
        <v>15</v>
      </c>
      <c r="K46" s="66" t="s">
        <v>34</v>
      </c>
      <c r="L46" s="36">
        <v>32</v>
      </c>
      <c r="M46" s="36">
        <v>33</v>
      </c>
      <c r="N46" s="36">
        <v>35</v>
      </c>
      <c r="O46" s="36">
        <v>38</v>
      </c>
      <c r="P46" s="36">
        <v>138</v>
      </c>
      <c r="Q46" s="41">
        <v>140000000</v>
      </c>
      <c r="R46" s="41">
        <v>140000000</v>
      </c>
      <c r="S46" s="41"/>
      <c r="T46" s="88">
        <v>140000000</v>
      </c>
      <c r="U46" s="88">
        <v>140000000</v>
      </c>
      <c r="V46" s="88"/>
      <c r="W46" s="88">
        <v>150000000</v>
      </c>
      <c r="X46" s="88"/>
      <c r="Y46" s="88"/>
      <c r="Z46" s="88">
        <v>150000000</v>
      </c>
      <c r="AA46" s="226" t="s">
        <v>218</v>
      </c>
      <c r="AB46" s="227" t="s">
        <v>506</v>
      </c>
      <c r="AC46" s="108"/>
      <c r="AD46" s="91"/>
      <c r="AE46" s="223">
        <f>977500000+8500000</f>
        <v>986000000</v>
      </c>
      <c r="AF46" s="223">
        <f>140000000+140000000+706000000-200000000</f>
        <v>786000000</v>
      </c>
      <c r="AG46" s="223">
        <f>+AE46-AF46</f>
        <v>200000000</v>
      </c>
      <c r="AH46" s="40">
        <v>140000000</v>
      </c>
      <c r="AI46" s="40">
        <f>+R46-AH46</f>
        <v>0</v>
      </c>
    </row>
    <row r="47" spans="2:35" ht="72">
      <c r="B47" s="196"/>
      <c r="C47" s="196"/>
      <c r="D47" s="196"/>
      <c r="E47" s="213"/>
      <c r="F47" s="195"/>
      <c r="G47" s="195"/>
      <c r="H47" s="43" t="s">
        <v>393</v>
      </c>
      <c r="I47" s="44" t="s">
        <v>394</v>
      </c>
      <c r="J47" s="36" t="s">
        <v>15</v>
      </c>
      <c r="K47" s="73">
        <v>0.1</v>
      </c>
      <c r="L47" s="73">
        <v>0.2</v>
      </c>
      <c r="M47" s="73">
        <v>0.3</v>
      </c>
      <c r="N47" s="73">
        <v>0.3</v>
      </c>
      <c r="O47" s="73">
        <v>0.2</v>
      </c>
      <c r="P47" s="73">
        <v>1</v>
      </c>
      <c r="Q47" s="41">
        <v>140000000</v>
      </c>
      <c r="R47" s="41">
        <v>140000000</v>
      </c>
      <c r="S47" s="41"/>
      <c r="T47" s="88">
        <v>140000000</v>
      </c>
      <c r="U47" s="88">
        <v>140000000</v>
      </c>
      <c r="V47" s="88"/>
      <c r="W47" s="88">
        <v>150000000</v>
      </c>
      <c r="X47" s="88"/>
      <c r="Y47" s="88"/>
      <c r="Z47" s="88">
        <v>150000000</v>
      </c>
      <c r="AA47" s="226"/>
      <c r="AB47" s="227"/>
      <c r="AC47" s="109"/>
      <c r="AD47" s="92"/>
      <c r="AE47" s="224"/>
      <c r="AF47" s="224"/>
      <c r="AG47" s="224"/>
      <c r="AH47" s="40">
        <f>41600000+18600000</f>
        <v>60200000</v>
      </c>
      <c r="AI47" s="40">
        <f>+R47-AH47</f>
        <v>79800000</v>
      </c>
    </row>
    <row r="48" spans="2:35" ht="72">
      <c r="B48" s="196"/>
      <c r="C48" s="196"/>
      <c r="D48" s="196"/>
      <c r="E48" s="213"/>
      <c r="F48" s="195"/>
      <c r="G48" s="195"/>
      <c r="H48" s="43" t="s">
        <v>395</v>
      </c>
      <c r="I48" s="44" t="s">
        <v>396</v>
      </c>
      <c r="J48" s="36" t="s">
        <v>7</v>
      </c>
      <c r="K48" s="73">
        <v>0.4</v>
      </c>
      <c r="L48" s="73">
        <v>0.5</v>
      </c>
      <c r="M48" s="73">
        <v>0.5</v>
      </c>
      <c r="N48" s="73">
        <v>0.5</v>
      </c>
      <c r="O48" s="73">
        <v>0.5</v>
      </c>
      <c r="P48" s="73">
        <v>0.5</v>
      </c>
      <c r="Q48" s="41">
        <v>706000000</v>
      </c>
      <c r="R48" s="41">
        <v>706000000</v>
      </c>
      <c r="S48" s="41"/>
      <c r="T48" s="88">
        <f>+U48+V48</f>
        <v>1972000000</v>
      </c>
      <c r="U48" s="88">
        <v>500000000</v>
      </c>
      <c r="V48" s="88">
        <v>1472000000</v>
      </c>
      <c r="W48" s="88">
        <v>500000000</v>
      </c>
      <c r="X48" s="88"/>
      <c r="Y48" s="88"/>
      <c r="Z48" s="88">
        <v>800000000</v>
      </c>
      <c r="AA48" s="226"/>
      <c r="AB48" s="227"/>
      <c r="AC48" s="110"/>
      <c r="AD48" s="93"/>
      <c r="AE48" s="225"/>
      <c r="AF48" s="225"/>
      <c r="AG48" s="225"/>
      <c r="AH48" s="40">
        <v>120000000</v>
      </c>
      <c r="AI48" s="40">
        <f>+Q48-AH48</f>
        <v>586000000</v>
      </c>
    </row>
    <row r="49" spans="2:35" ht="108">
      <c r="B49" s="196"/>
      <c r="C49" s="196"/>
      <c r="D49" s="196"/>
      <c r="E49" s="87" t="s">
        <v>230</v>
      </c>
      <c r="F49" s="65" t="s">
        <v>222</v>
      </c>
      <c r="G49" s="43" t="s">
        <v>223</v>
      </c>
      <c r="H49" s="43" t="s">
        <v>397</v>
      </c>
      <c r="I49" s="44" t="s">
        <v>398</v>
      </c>
      <c r="J49" s="36" t="s">
        <v>15</v>
      </c>
      <c r="K49" s="66" t="s">
        <v>307</v>
      </c>
      <c r="L49" s="66" t="s">
        <v>536</v>
      </c>
      <c r="M49" s="66" t="s">
        <v>537</v>
      </c>
      <c r="N49" s="66" t="s">
        <v>537</v>
      </c>
      <c r="O49" s="66" t="s">
        <v>537</v>
      </c>
      <c r="P49" s="66" t="s">
        <v>537</v>
      </c>
      <c r="Q49" s="39">
        <v>200000000</v>
      </c>
      <c r="R49" s="39">
        <v>200000000</v>
      </c>
      <c r="S49" s="39"/>
      <c r="T49" s="39">
        <v>200000000</v>
      </c>
      <c r="U49" s="39">
        <v>200000000</v>
      </c>
      <c r="V49" s="39"/>
      <c r="W49" s="39">
        <v>200000000</v>
      </c>
      <c r="X49" s="39"/>
      <c r="Y49" s="88"/>
      <c r="Z49" s="88">
        <v>200000000</v>
      </c>
      <c r="AA49" s="226"/>
      <c r="AB49" s="227"/>
      <c r="AC49" s="94"/>
      <c r="AD49" s="237" t="s">
        <v>507</v>
      </c>
      <c r="AE49" s="53"/>
      <c r="AF49" s="53"/>
      <c r="AG49" s="53"/>
      <c r="AH49" s="56">
        <v>200000000</v>
      </c>
      <c r="AI49" s="56">
        <v>0</v>
      </c>
    </row>
    <row r="50" spans="2:35" ht="96" customHeight="1">
      <c r="B50" s="196"/>
      <c r="C50" s="196"/>
      <c r="D50" s="196"/>
      <c r="E50" s="213" t="s">
        <v>231</v>
      </c>
      <c r="F50" s="234" t="s">
        <v>224</v>
      </c>
      <c r="G50" s="234" t="s">
        <v>225</v>
      </c>
      <c r="H50" s="44" t="s">
        <v>399</v>
      </c>
      <c r="I50" s="44" t="s">
        <v>400</v>
      </c>
      <c r="J50" s="36" t="s">
        <v>7</v>
      </c>
      <c r="K50" s="44">
        <v>14</v>
      </c>
      <c r="L50" s="66" t="s">
        <v>401</v>
      </c>
      <c r="M50" s="66" t="s">
        <v>401</v>
      </c>
      <c r="N50" s="66" t="s">
        <v>401</v>
      </c>
      <c r="O50" s="66" t="s">
        <v>401</v>
      </c>
      <c r="P50" s="66" t="s">
        <v>401</v>
      </c>
      <c r="Q50" s="41">
        <v>600000000</v>
      </c>
      <c r="R50" s="41">
        <v>600000000</v>
      </c>
      <c r="S50" s="41"/>
      <c r="T50" s="38">
        <v>500000000</v>
      </c>
      <c r="U50" s="38">
        <v>500000000</v>
      </c>
      <c r="V50" s="38"/>
      <c r="W50" s="38">
        <v>600000000</v>
      </c>
      <c r="X50" s="38"/>
      <c r="Y50" s="88"/>
      <c r="Z50" s="38">
        <v>900000000</v>
      </c>
      <c r="AA50" s="257" t="s">
        <v>504</v>
      </c>
      <c r="AB50" s="248" t="s">
        <v>554</v>
      </c>
      <c r="AC50" s="38"/>
      <c r="AD50" s="238"/>
      <c r="AE50" s="39"/>
      <c r="AF50" s="39"/>
      <c r="AG50" s="39"/>
      <c r="AH50" s="40">
        <f>+R50-AI50</f>
        <v>0</v>
      </c>
      <c r="AI50" s="40">
        <v>600000000</v>
      </c>
    </row>
    <row r="51" spans="2:35" ht="108">
      <c r="B51" s="196"/>
      <c r="C51" s="196"/>
      <c r="D51" s="196"/>
      <c r="E51" s="213"/>
      <c r="F51" s="236"/>
      <c r="G51" s="236"/>
      <c r="H51" s="43" t="s">
        <v>402</v>
      </c>
      <c r="I51" s="44" t="s">
        <v>403</v>
      </c>
      <c r="J51" s="66" t="s">
        <v>137</v>
      </c>
      <c r="K51" s="75">
        <v>0</v>
      </c>
      <c r="L51" s="37" t="s">
        <v>26</v>
      </c>
      <c r="M51" s="37">
        <v>1</v>
      </c>
      <c r="N51" s="37">
        <v>1</v>
      </c>
      <c r="O51" s="37">
        <v>1</v>
      </c>
      <c r="P51" s="75">
        <v>1</v>
      </c>
      <c r="Q51" s="41">
        <v>0</v>
      </c>
      <c r="R51" s="41">
        <v>0</v>
      </c>
      <c r="S51" s="41">
        <v>0</v>
      </c>
      <c r="T51" s="38">
        <v>100000000</v>
      </c>
      <c r="U51" s="38">
        <v>100000000</v>
      </c>
      <c r="V51" s="38"/>
      <c r="W51" s="38">
        <v>100000000</v>
      </c>
      <c r="X51" s="38"/>
      <c r="Y51" s="88"/>
      <c r="Z51" s="38">
        <v>100000000</v>
      </c>
      <c r="AA51" s="259"/>
      <c r="AB51" s="260"/>
      <c r="AC51" s="38"/>
      <c r="AD51" s="238"/>
      <c r="AE51" s="39"/>
      <c r="AF51" s="39"/>
      <c r="AG51" s="39"/>
      <c r="AH51" s="40"/>
      <c r="AI51" s="40"/>
    </row>
    <row r="52" spans="2:35" ht="54">
      <c r="B52" s="196"/>
      <c r="C52" s="196"/>
      <c r="D52" s="196"/>
      <c r="E52" s="213"/>
      <c r="F52" s="43" t="s">
        <v>226</v>
      </c>
      <c r="G52" s="44" t="s">
        <v>227</v>
      </c>
      <c r="H52" s="43" t="s">
        <v>404</v>
      </c>
      <c r="I52" s="44" t="s">
        <v>131</v>
      </c>
      <c r="J52" s="36" t="s">
        <v>15</v>
      </c>
      <c r="K52" s="75">
        <v>2756</v>
      </c>
      <c r="L52" s="95">
        <v>600</v>
      </c>
      <c r="M52" s="36">
        <v>1100</v>
      </c>
      <c r="N52" s="36">
        <v>1200</v>
      </c>
      <c r="O52" s="36">
        <v>1100</v>
      </c>
      <c r="P52" s="36">
        <v>4000</v>
      </c>
      <c r="Q52" s="41">
        <f>850000000+450000000+80000000+208000000</f>
        <v>1588000000</v>
      </c>
      <c r="R52" s="41">
        <f>850000000+450000000+80000000+208000000</f>
        <v>1588000000</v>
      </c>
      <c r="S52" s="41"/>
      <c r="T52" s="38">
        <v>1500000000</v>
      </c>
      <c r="U52" s="38">
        <v>1500000000</v>
      </c>
      <c r="V52" s="38"/>
      <c r="W52" s="38">
        <v>1600000000</v>
      </c>
      <c r="X52" s="38"/>
      <c r="Y52" s="88"/>
      <c r="Z52" s="38">
        <v>2900000000</v>
      </c>
      <c r="AA52" s="89" t="s">
        <v>503</v>
      </c>
      <c r="AB52" s="52" t="s">
        <v>505</v>
      </c>
      <c r="AC52" s="38"/>
      <c r="AD52" s="239"/>
      <c r="AE52" s="39">
        <v>2346615223.0500002</v>
      </c>
      <c r="AF52" s="39">
        <f>265000000+850000000+450000000+80000000+208000000+35600000+200000000+150000000+8500000+150000000</f>
        <v>2397100000</v>
      </c>
      <c r="AG52" s="39">
        <f>+AE52-AF52</f>
        <v>-50484776.949999809</v>
      </c>
      <c r="AH52" s="40"/>
      <c r="AI52" s="40">
        <f>+R52</f>
        <v>1588000000</v>
      </c>
    </row>
    <row r="53" spans="2:35" ht="72">
      <c r="B53" s="195" t="s">
        <v>204</v>
      </c>
      <c r="C53" s="195" t="s">
        <v>278</v>
      </c>
      <c r="D53" s="234" t="s">
        <v>143</v>
      </c>
      <c r="E53" s="244" t="s">
        <v>279</v>
      </c>
      <c r="F53" s="65" t="s">
        <v>232</v>
      </c>
      <c r="G53" s="43" t="s">
        <v>53</v>
      </c>
      <c r="H53" s="43" t="s">
        <v>405</v>
      </c>
      <c r="I53" s="44" t="s">
        <v>406</v>
      </c>
      <c r="J53" s="36" t="s">
        <v>27</v>
      </c>
      <c r="K53" s="36">
        <v>2</v>
      </c>
      <c r="L53" s="36">
        <v>0.3</v>
      </c>
      <c r="M53" s="36">
        <v>1.7</v>
      </c>
      <c r="N53" s="36">
        <v>1</v>
      </c>
      <c r="O53" s="36">
        <v>0</v>
      </c>
      <c r="P53" s="36">
        <v>3</v>
      </c>
      <c r="Q53" s="38">
        <v>500000000</v>
      </c>
      <c r="R53" s="38">
        <v>500000000</v>
      </c>
      <c r="S53" s="38"/>
      <c r="T53" s="38">
        <v>300000000</v>
      </c>
      <c r="U53" s="38">
        <v>300000000</v>
      </c>
      <c r="V53" s="38"/>
      <c r="W53" s="38">
        <v>300000000</v>
      </c>
      <c r="X53" s="38"/>
      <c r="Y53" s="38"/>
      <c r="Z53" s="38">
        <v>0</v>
      </c>
      <c r="AA53" s="89" t="s">
        <v>493</v>
      </c>
      <c r="AB53" s="96" t="s">
        <v>494</v>
      </c>
      <c r="AC53" s="245">
        <v>1949106646.8699999</v>
      </c>
      <c r="AD53" s="248" t="s">
        <v>502</v>
      </c>
      <c r="AE53" s="223">
        <v>3206115171.9499998</v>
      </c>
      <c r="AF53" s="223">
        <f>500000000+150000000+400000000+150000000+250000000+230000000+18000000+47763881.13+203342765.74</f>
        <v>1949106646.8700001</v>
      </c>
      <c r="AG53" s="223">
        <f>+AE53-AF53</f>
        <v>1257008525.0799997</v>
      </c>
      <c r="AH53" s="40"/>
      <c r="AI53" s="40">
        <v>500000000</v>
      </c>
    </row>
    <row r="54" spans="2:35" ht="54">
      <c r="B54" s="195"/>
      <c r="C54" s="195"/>
      <c r="D54" s="235"/>
      <c r="E54" s="242"/>
      <c r="F54" s="65" t="s">
        <v>233</v>
      </c>
      <c r="G54" s="43" t="s">
        <v>234</v>
      </c>
      <c r="H54" s="43" t="s">
        <v>407</v>
      </c>
      <c r="I54" s="44" t="s">
        <v>408</v>
      </c>
      <c r="J54" s="36" t="s">
        <v>27</v>
      </c>
      <c r="K54" s="36">
        <v>28</v>
      </c>
      <c r="L54" s="36">
        <v>2</v>
      </c>
      <c r="M54" s="36">
        <v>5</v>
      </c>
      <c r="N54" s="36">
        <v>5</v>
      </c>
      <c r="O54" s="36">
        <v>6</v>
      </c>
      <c r="P54" s="36">
        <v>18</v>
      </c>
      <c r="Q54" s="38">
        <v>57000000</v>
      </c>
      <c r="R54" s="38">
        <v>57000000</v>
      </c>
      <c r="S54" s="38"/>
      <c r="T54" s="38">
        <v>140000000</v>
      </c>
      <c r="U54" s="38">
        <v>140000000</v>
      </c>
      <c r="V54" s="38"/>
      <c r="W54" s="38">
        <v>140000000</v>
      </c>
      <c r="X54" s="38"/>
      <c r="Y54" s="38"/>
      <c r="Z54" s="38">
        <v>140000000</v>
      </c>
      <c r="AA54" s="89" t="s">
        <v>497</v>
      </c>
      <c r="AB54" s="96" t="s">
        <v>541</v>
      </c>
      <c r="AC54" s="246"/>
      <c r="AD54" s="249"/>
      <c r="AE54" s="224"/>
      <c r="AF54" s="224"/>
      <c r="AG54" s="224"/>
      <c r="AH54" s="40"/>
      <c r="AI54" s="40">
        <v>57000000</v>
      </c>
    </row>
    <row r="55" spans="2:35" ht="90">
      <c r="B55" s="195"/>
      <c r="C55" s="195"/>
      <c r="D55" s="235"/>
      <c r="E55" s="242"/>
      <c r="F55" s="65" t="s">
        <v>235</v>
      </c>
      <c r="G55" s="43" t="s">
        <v>236</v>
      </c>
      <c r="H55" s="43" t="s">
        <v>409</v>
      </c>
      <c r="I55" s="44" t="s">
        <v>410</v>
      </c>
      <c r="J55" s="36" t="s">
        <v>27</v>
      </c>
      <c r="K55" s="36">
        <v>20</v>
      </c>
      <c r="L55" s="36">
        <v>3</v>
      </c>
      <c r="M55" s="36">
        <v>6</v>
      </c>
      <c r="N55" s="36">
        <v>6</v>
      </c>
      <c r="O55" s="36">
        <v>5</v>
      </c>
      <c r="P55" s="36">
        <v>20</v>
      </c>
      <c r="Q55" s="38">
        <v>93000000</v>
      </c>
      <c r="R55" s="38">
        <v>93000000</v>
      </c>
      <c r="S55" s="38"/>
      <c r="T55" s="38">
        <v>186000000</v>
      </c>
      <c r="U55" s="38">
        <v>186000000</v>
      </c>
      <c r="V55" s="38"/>
      <c r="W55" s="38">
        <v>186000000</v>
      </c>
      <c r="X55" s="38"/>
      <c r="Y55" s="38"/>
      <c r="Z55" s="38">
        <v>186000000</v>
      </c>
      <c r="AA55" s="89" t="s">
        <v>495</v>
      </c>
      <c r="AB55" s="97" t="s">
        <v>496</v>
      </c>
      <c r="AC55" s="246"/>
      <c r="AD55" s="249"/>
      <c r="AE55" s="224"/>
      <c r="AF55" s="224"/>
      <c r="AG55" s="224"/>
      <c r="AH55" s="40"/>
      <c r="AI55" s="40">
        <v>93000000</v>
      </c>
    </row>
    <row r="56" spans="2:35" ht="72">
      <c r="B56" s="195"/>
      <c r="C56" s="195"/>
      <c r="D56" s="235"/>
      <c r="E56" s="242"/>
      <c r="F56" s="65" t="s">
        <v>237</v>
      </c>
      <c r="G56" s="50" t="s">
        <v>238</v>
      </c>
      <c r="H56" s="43" t="s">
        <v>411</v>
      </c>
      <c r="I56" s="44" t="s">
        <v>412</v>
      </c>
      <c r="J56" s="36" t="s">
        <v>27</v>
      </c>
      <c r="K56" s="66" t="s">
        <v>239</v>
      </c>
      <c r="L56" s="36">
        <v>3</v>
      </c>
      <c r="M56" s="36">
        <v>8</v>
      </c>
      <c r="N56" s="36">
        <v>7</v>
      </c>
      <c r="O56" s="36">
        <v>7</v>
      </c>
      <c r="P56" s="36">
        <v>25</v>
      </c>
      <c r="Q56" s="38">
        <f>3550000000+555502575.81</f>
        <v>4105502575.8099999</v>
      </c>
      <c r="R56" s="38">
        <f>3550000000+555502575.81</f>
        <v>4105502575.8099999</v>
      </c>
      <c r="S56" s="38"/>
      <c r="T56" s="67">
        <v>0</v>
      </c>
      <c r="U56" s="38">
        <v>0</v>
      </c>
      <c r="V56" s="38">
        <f>+T56-U56</f>
        <v>0</v>
      </c>
      <c r="W56" s="38">
        <v>200000000</v>
      </c>
      <c r="X56" s="38"/>
      <c r="Y56" s="38"/>
      <c r="Z56" s="38">
        <v>700000000</v>
      </c>
      <c r="AA56" s="89" t="s">
        <v>500</v>
      </c>
      <c r="AB56" s="97" t="s">
        <v>501</v>
      </c>
      <c r="AC56" s="246"/>
      <c r="AD56" s="249"/>
      <c r="AE56" s="224"/>
      <c r="AF56" s="224"/>
      <c r="AG56" s="224"/>
      <c r="AH56" s="40">
        <v>550000000</v>
      </c>
      <c r="AI56" s="40">
        <f>+R56-AH56</f>
        <v>3555502575.8099999</v>
      </c>
    </row>
    <row r="57" spans="2:35" ht="108">
      <c r="B57" s="195"/>
      <c r="C57" s="195"/>
      <c r="D57" s="236"/>
      <c r="E57" s="243"/>
      <c r="F57" s="65" t="s">
        <v>240</v>
      </c>
      <c r="G57" s="43" t="s">
        <v>241</v>
      </c>
      <c r="H57" s="43" t="s">
        <v>413</v>
      </c>
      <c r="I57" s="44" t="s">
        <v>414</v>
      </c>
      <c r="J57" s="36" t="s">
        <v>7</v>
      </c>
      <c r="K57" s="36">
        <v>47</v>
      </c>
      <c r="L57" s="36">
        <v>47</v>
      </c>
      <c r="M57" s="36">
        <v>47</v>
      </c>
      <c r="N57" s="36">
        <v>47</v>
      </c>
      <c r="O57" s="36">
        <v>47</v>
      </c>
      <c r="P57" s="36">
        <v>47</v>
      </c>
      <c r="Q57" s="38">
        <f>250000000+230000000+18000000</f>
        <v>498000000</v>
      </c>
      <c r="R57" s="38">
        <f>250000000+230000000+18000000</f>
        <v>498000000</v>
      </c>
      <c r="S57" s="38"/>
      <c r="T57" s="38">
        <v>150000000</v>
      </c>
      <c r="U57" s="38">
        <v>150000000</v>
      </c>
      <c r="V57" s="38"/>
      <c r="W57" s="38">
        <v>150000000</v>
      </c>
      <c r="X57" s="38"/>
      <c r="Y57" s="38"/>
      <c r="Z57" s="38">
        <v>150000000</v>
      </c>
      <c r="AA57" s="89" t="s">
        <v>498</v>
      </c>
      <c r="AB57" s="98" t="s">
        <v>499</v>
      </c>
      <c r="AC57" s="247"/>
      <c r="AD57" s="249"/>
      <c r="AE57" s="225"/>
      <c r="AF57" s="225"/>
      <c r="AG57" s="225"/>
      <c r="AH57" s="40">
        <v>351089500</v>
      </c>
      <c r="AI57" s="40">
        <f>+R57-AH57</f>
        <v>146910500</v>
      </c>
    </row>
    <row r="58" spans="2:35" ht="90">
      <c r="B58" s="195" t="s">
        <v>204</v>
      </c>
      <c r="C58" s="234" t="s">
        <v>17</v>
      </c>
      <c r="D58" s="195" t="s">
        <v>18</v>
      </c>
      <c r="E58" s="99" t="s">
        <v>280</v>
      </c>
      <c r="F58" s="43" t="s">
        <v>282</v>
      </c>
      <c r="G58" s="43" t="s">
        <v>283</v>
      </c>
      <c r="H58" s="43" t="s">
        <v>415</v>
      </c>
      <c r="I58" s="44" t="s">
        <v>284</v>
      </c>
      <c r="J58" s="66" t="s">
        <v>15</v>
      </c>
      <c r="K58" s="36">
        <v>6</v>
      </c>
      <c r="L58" s="36" t="s">
        <v>26</v>
      </c>
      <c r="M58" s="36">
        <v>1</v>
      </c>
      <c r="N58" s="36">
        <v>1</v>
      </c>
      <c r="O58" s="36" t="s">
        <v>26</v>
      </c>
      <c r="P58" s="36">
        <v>2</v>
      </c>
      <c r="Q58" s="38">
        <v>0</v>
      </c>
      <c r="R58" s="38"/>
      <c r="S58" s="38"/>
      <c r="T58" s="38">
        <v>400000000</v>
      </c>
      <c r="U58" s="38">
        <v>400000000</v>
      </c>
      <c r="V58" s="38"/>
      <c r="W58" s="38">
        <v>400000000</v>
      </c>
      <c r="X58" s="38"/>
      <c r="Y58" s="38"/>
      <c r="Z58" s="38">
        <v>0</v>
      </c>
      <c r="AA58" s="257" t="s">
        <v>508</v>
      </c>
      <c r="AB58" s="248" t="s">
        <v>509</v>
      </c>
      <c r="AC58" s="38"/>
      <c r="AD58" s="38" t="s">
        <v>450</v>
      </c>
      <c r="AE58" s="39">
        <v>220000000</v>
      </c>
      <c r="AF58" s="39">
        <v>67000000</v>
      </c>
      <c r="AG58" s="39">
        <f>+AE58-AF58</f>
        <v>153000000</v>
      </c>
      <c r="AH58" s="40"/>
      <c r="AI58" s="40"/>
    </row>
    <row r="59" spans="2:35" ht="126">
      <c r="B59" s="195"/>
      <c r="C59" s="235"/>
      <c r="D59" s="195"/>
      <c r="E59" s="242" t="s">
        <v>281</v>
      </c>
      <c r="F59" s="43" t="s">
        <v>242</v>
      </c>
      <c r="G59" s="234" t="s">
        <v>243</v>
      </c>
      <c r="H59" s="43" t="s">
        <v>416</v>
      </c>
      <c r="I59" s="43" t="s">
        <v>417</v>
      </c>
      <c r="J59" s="66" t="s">
        <v>57</v>
      </c>
      <c r="K59" s="36">
        <v>0</v>
      </c>
      <c r="L59" s="36" t="s">
        <v>26</v>
      </c>
      <c r="M59" s="36">
        <v>20</v>
      </c>
      <c r="N59" s="36">
        <v>20</v>
      </c>
      <c r="O59" s="36" t="s">
        <v>26</v>
      </c>
      <c r="P59" s="36">
        <v>20</v>
      </c>
      <c r="Q59" s="95">
        <v>0</v>
      </c>
      <c r="T59" s="95">
        <v>0</v>
      </c>
      <c r="W59" s="95">
        <v>0</v>
      </c>
      <c r="X59" s="95"/>
      <c r="Y59" s="95"/>
      <c r="Z59" s="95">
        <v>0</v>
      </c>
      <c r="AA59" s="258"/>
      <c r="AB59" s="249"/>
      <c r="AC59" s="95"/>
      <c r="AD59" s="95"/>
      <c r="AE59" s="39"/>
      <c r="AF59" s="39"/>
      <c r="AG59" s="39"/>
      <c r="AH59" s="40"/>
      <c r="AI59" s="40"/>
    </row>
    <row r="60" spans="2:35" ht="54">
      <c r="B60" s="195"/>
      <c r="C60" s="236"/>
      <c r="D60" s="195"/>
      <c r="E60" s="243"/>
      <c r="F60" s="43" t="s">
        <v>244</v>
      </c>
      <c r="G60" s="236"/>
      <c r="H60" s="43" t="s">
        <v>418</v>
      </c>
      <c r="I60" s="43" t="s">
        <v>419</v>
      </c>
      <c r="J60" s="66" t="s">
        <v>15</v>
      </c>
      <c r="K60" s="36">
        <v>0</v>
      </c>
      <c r="L60" s="36" t="s">
        <v>26</v>
      </c>
      <c r="M60" s="36" t="s">
        <v>26</v>
      </c>
      <c r="N60" s="36">
        <v>1</v>
      </c>
      <c r="O60" s="36">
        <v>1</v>
      </c>
      <c r="P60" s="36">
        <v>2</v>
      </c>
      <c r="Q60" s="95">
        <v>0</v>
      </c>
      <c r="R60" s="56">
        <v>0</v>
      </c>
      <c r="T60" s="95">
        <v>0</v>
      </c>
      <c r="U60" s="95">
        <v>0</v>
      </c>
      <c r="W60" s="95">
        <f>30000000*1.27</f>
        <v>38100000</v>
      </c>
      <c r="X60" s="95"/>
      <c r="Y60" s="95"/>
      <c r="Z60" s="95">
        <v>50000000</v>
      </c>
      <c r="AA60" s="259"/>
      <c r="AB60" s="260"/>
      <c r="AC60" s="95"/>
      <c r="AD60" s="95"/>
      <c r="AE60" s="39"/>
      <c r="AF60" s="39"/>
      <c r="AG60" s="39"/>
      <c r="AH60" s="40"/>
      <c r="AI60" s="40"/>
    </row>
    <row r="61" spans="2:35" ht="108">
      <c r="B61" s="195" t="s">
        <v>285</v>
      </c>
      <c r="C61" s="195" t="s">
        <v>19</v>
      </c>
      <c r="D61" s="195" t="s">
        <v>286</v>
      </c>
      <c r="E61" s="213" t="s">
        <v>287</v>
      </c>
      <c r="F61" s="71" t="s">
        <v>246</v>
      </c>
      <c r="G61" s="43" t="s">
        <v>247</v>
      </c>
      <c r="H61" s="43" t="s">
        <v>420</v>
      </c>
      <c r="I61" s="44" t="s">
        <v>421</v>
      </c>
      <c r="J61" s="66" t="s">
        <v>7</v>
      </c>
      <c r="K61" s="37">
        <v>7</v>
      </c>
      <c r="L61" s="37">
        <v>7</v>
      </c>
      <c r="M61" s="37">
        <v>7</v>
      </c>
      <c r="N61" s="37">
        <v>7</v>
      </c>
      <c r="O61" s="37">
        <v>7</v>
      </c>
      <c r="P61" s="37">
        <v>7</v>
      </c>
      <c r="Q61" s="100">
        <f>280000000+160000000+400000000+140000000+11000000+35000000+150000000+400000000+400000000</f>
        <v>1976000000</v>
      </c>
      <c r="R61" s="100">
        <f>280000000+160000000+400000000+140000000+11000000+35000000+150000000+400000000+400000000</f>
        <v>1976000000</v>
      </c>
      <c r="S61" s="100">
        <v>0</v>
      </c>
      <c r="T61" s="100">
        <v>900000000</v>
      </c>
      <c r="U61" s="100">
        <v>900000000</v>
      </c>
      <c r="V61" s="100"/>
      <c r="W61" s="100">
        <v>900000000</v>
      </c>
      <c r="X61" s="100"/>
      <c r="Y61" s="100"/>
      <c r="Z61" s="100">
        <v>1400000000</v>
      </c>
      <c r="AA61" s="240" t="s">
        <v>510</v>
      </c>
      <c r="AB61" s="250" t="s">
        <v>511</v>
      </c>
      <c r="AC61" s="252">
        <v>1925000000</v>
      </c>
      <c r="AD61" s="252" t="s">
        <v>465</v>
      </c>
      <c r="AE61" s="101">
        <v>1926791407</v>
      </c>
      <c r="AF61" s="101">
        <v>1976000000</v>
      </c>
      <c r="AG61" s="101">
        <f>+AE61-AF61</f>
        <v>-49208593</v>
      </c>
      <c r="AH61" s="40">
        <f>+Q61-AI61</f>
        <v>1876000000</v>
      </c>
      <c r="AI61" s="40">
        <v>100000000</v>
      </c>
    </row>
    <row r="62" spans="2:35" ht="72">
      <c r="B62" s="195"/>
      <c r="C62" s="195"/>
      <c r="D62" s="195"/>
      <c r="E62" s="213"/>
      <c r="F62" s="71" t="s">
        <v>248</v>
      </c>
      <c r="G62" s="44" t="s">
        <v>249</v>
      </c>
      <c r="H62" s="43" t="s">
        <v>422</v>
      </c>
      <c r="I62" s="44" t="s">
        <v>423</v>
      </c>
      <c r="J62" s="66" t="s">
        <v>57</v>
      </c>
      <c r="K62" s="37">
        <v>0</v>
      </c>
      <c r="L62" s="37" t="s">
        <v>26</v>
      </c>
      <c r="M62" s="37">
        <v>1</v>
      </c>
      <c r="N62" s="37">
        <v>1</v>
      </c>
      <c r="O62" s="37">
        <v>1</v>
      </c>
      <c r="P62" s="37">
        <v>1</v>
      </c>
      <c r="Q62" s="100">
        <v>0</v>
      </c>
      <c r="R62" s="100">
        <v>0</v>
      </c>
      <c r="S62" s="100"/>
      <c r="T62" s="100">
        <v>230000000</v>
      </c>
      <c r="U62" s="100">
        <v>230000000</v>
      </c>
      <c r="V62" s="100"/>
      <c r="W62" s="100">
        <v>200000000</v>
      </c>
      <c r="X62" s="100"/>
      <c r="Y62" s="100"/>
      <c r="Z62" s="100">
        <v>200000000</v>
      </c>
      <c r="AA62" s="241"/>
      <c r="AB62" s="251"/>
      <c r="AC62" s="253"/>
      <c r="AD62" s="253"/>
      <c r="AE62" s="101"/>
      <c r="AF62" s="101"/>
      <c r="AG62" s="101"/>
      <c r="AH62" s="40"/>
      <c r="AI62" s="40"/>
    </row>
    <row r="63" spans="2:35" ht="72">
      <c r="B63" s="195"/>
      <c r="C63" s="195"/>
      <c r="D63" s="195"/>
      <c r="E63" s="213"/>
      <c r="F63" s="71" t="s">
        <v>250</v>
      </c>
      <c r="G63" s="71" t="s">
        <v>251</v>
      </c>
      <c r="H63" s="43" t="s">
        <v>424</v>
      </c>
      <c r="I63" s="43" t="s">
        <v>425</v>
      </c>
      <c r="J63" s="66" t="s">
        <v>57</v>
      </c>
      <c r="K63" s="37">
        <v>0</v>
      </c>
      <c r="L63" s="37">
        <v>1</v>
      </c>
      <c r="M63" s="37">
        <v>1</v>
      </c>
      <c r="N63" s="37">
        <v>1</v>
      </c>
      <c r="O63" s="37">
        <v>1</v>
      </c>
      <c r="P63" s="37">
        <v>1</v>
      </c>
      <c r="Q63" s="100"/>
      <c r="R63" s="100"/>
      <c r="S63" s="100"/>
      <c r="T63" s="100">
        <v>0</v>
      </c>
      <c r="U63" s="100">
        <v>0</v>
      </c>
      <c r="V63" s="100">
        <v>0</v>
      </c>
      <c r="W63" s="100">
        <v>0</v>
      </c>
      <c r="X63" s="100"/>
      <c r="Y63" s="100"/>
      <c r="Z63" s="100">
        <v>0</v>
      </c>
      <c r="AA63" s="102" t="s">
        <v>512</v>
      </c>
      <c r="AB63" s="103" t="s">
        <v>513</v>
      </c>
      <c r="AC63" s="254"/>
      <c r="AD63" s="254"/>
      <c r="AE63" s="101"/>
      <c r="AF63" s="101"/>
      <c r="AG63" s="101"/>
      <c r="AH63" s="40"/>
      <c r="AI63" s="40"/>
    </row>
    <row r="64" spans="2:35" ht="54">
      <c r="B64" s="195"/>
      <c r="C64" s="195"/>
      <c r="D64" s="195"/>
      <c r="E64" s="87" t="s">
        <v>288</v>
      </c>
      <c r="F64" s="65" t="s">
        <v>252</v>
      </c>
      <c r="G64" s="43" t="s">
        <v>253</v>
      </c>
      <c r="H64" s="43" t="s">
        <v>426</v>
      </c>
      <c r="I64" s="44" t="s">
        <v>427</v>
      </c>
      <c r="J64" s="36" t="s">
        <v>7</v>
      </c>
      <c r="K64" s="73">
        <v>1</v>
      </c>
      <c r="L64" s="73">
        <v>1</v>
      </c>
      <c r="M64" s="73">
        <v>1</v>
      </c>
      <c r="N64" s="73">
        <v>1</v>
      </c>
      <c r="O64" s="73">
        <v>1</v>
      </c>
      <c r="P64" s="73">
        <v>1</v>
      </c>
      <c r="Q64" s="100">
        <v>260000000</v>
      </c>
      <c r="R64" s="100">
        <v>260000000</v>
      </c>
      <c r="S64" s="100"/>
      <c r="T64" s="100">
        <v>200000000</v>
      </c>
      <c r="U64" s="100">
        <v>200000000</v>
      </c>
      <c r="V64" s="100"/>
      <c r="W64" s="100">
        <v>200000000</v>
      </c>
      <c r="X64" s="100"/>
      <c r="Y64" s="100"/>
      <c r="Z64" s="100">
        <v>360000000</v>
      </c>
      <c r="AA64" s="102" t="s">
        <v>514</v>
      </c>
      <c r="AB64" s="103" t="s">
        <v>515</v>
      </c>
      <c r="AC64" s="100">
        <v>260000000</v>
      </c>
      <c r="AD64" s="100" t="s">
        <v>465</v>
      </c>
      <c r="AE64" s="101"/>
      <c r="AF64" s="101"/>
      <c r="AG64" s="101"/>
      <c r="AH64" s="40">
        <v>260000000</v>
      </c>
      <c r="AI64" s="40"/>
    </row>
    <row r="65" spans="2:35" ht="108">
      <c r="B65" s="195"/>
      <c r="C65" s="195"/>
      <c r="D65" s="195"/>
      <c r="E65" s="213" t="s">
        <v>289</v>
      </c>
      <c r="F65" s="65" t="s">
        <v>254</v>
      </c>
      <c r="G65" s="43" t="s">
        <v>255</v>
      </c>
      <c r="H65" s="43" t="s">
        <v>428</v>
      </c>
      <c r="I65" s="44" t="s">
        <v>429</v>
      </c>
      <c r="J65" s="36" t="s">
        <v>7</v>
      </c>
      <c r="K65" s="73">
        <v>1</v>
      </c>
      <c r="L65" s="73">
        <v>1</v>
      </c>
      <c r="M65" s="73">
        <v>1</v>
      </c>
      <c r="N65" s="73">
        <v>1</v>
      </c>
      <c r="O65" s="73">
        <v>1</v>
      </c>
      <c r="P65" s="73">
        <v>1</v>
      </c>
      <c r="Q65" s="100">
        <v>300000000</v>
      </c>
      <c r="R65" s="100">
        <v>300000000</v>
      </c>
      <c r="S65" s="100"/>
      <c r="T65" s="100">
        <v>300000000</v>
      </c>
      <c r="U65" s="100">
        <v>300000000</v>
      </c>
      <c r="V65" s="100"/>
      <c r="W65" s="100">
        <v>300000000</v>
      </c>
      <c r="X65" s="100"/>
      <c r="Y65" s="100"/>
      <c r="Z65" s="100">
        <v>450000000</v>
      </c>
      <c r="AA65" s="102" t="s">
        <v>516</v>
      </c>
      <c r="AB65" s="103" t="s">
        <v>517</v>
      </c>
      <c r="AC65" s="100"/>
      <c r="AD65" s="100"/>
      <c r="AE65" s="39">
        <v>300000000</v>
      </c>
      <c r="AF65" s="39">
        <v>300000000</v>
      </c>
      <c r="AG65" s="39">
        <f>+AE65-AF65</f>
        <v>0</v>
      </c>
      <c r="AH65" s="40">
        <v>300000000</v>
      </c>
      <c r="AI65" s="40"/>
    </row>
    <row r="66" spans="2:35" ht="54">
      <c r="B66" s="195"/>
      <c r="C66" s="195"/>
      <c r="D66" s="195"/>
      <c r="E66" s="213"/>
      <c r="F66" s="65" t="s">
        <v>256</v>
      </c>
      <c r="G66" s="43" t="s">
        <v>257</v>
      </c>
      <c r="H66" s="43" t="s">
        <v>122</v>
      </c>
      <c r="I66" s="44" t="s">
        <v>115</v>
      </c>
      <c r="J66" s="66" t="s">
        <v>57</v>
      </c>
      <c r="K66" s="73">
        <v>0.8</v>
      </c>
      <c r="L66" s="73">
        <v>0.85</v>
      </c>
      <c r="M66" s="73">
        <v>0.9</v>
      </c>
      <c r="N66" s="73">
        <v>0.95</v>
      </c>
      <c r="O66" s="73">
        <v>1</v>
      </c>
      <c r="P66" s="73">
        <v>1</v>
      </c>
      <c r="Q66" s="100">
        <f>2500000000-260000000-1240000000</f>
        <v>1000000000</v>
      </c>
      <c r="R66" s="100">
        <f>2500000000-260000000-1240000000</f>
        <v>1000000000</v>
      </c>
      <c r="S66" s="100"/>
      <c r="T66" s="100">
        <v>700000000</v>
      </c>
      <c r="U66" s="100">
        <v>700000000</v>
      </c>
      <c r="V66" s="100"/>
      <c r="W66" s="100">
        <v>1000000000</v>
      </c>
      <c r="X66" s="100"/>
      <c r="Y66" s="100"/>
      <c r="Z66" s="100">
        <v>1000000000</v>
      </c>
      <c r="AA66" s="102" t="s">
        <v>514</v>
      </c>
      <c r="AB66" s="103" t="s">
        <v>515</v>
      </c>
      <c r="AC66" s="100">
        <v>1000000000</v>
      </c>
      <c r="AD66" s="100" t="s">
        <v>465</v>
      </c>
      <c r="AE66" s="39">
        <v>2500000000</v>
      </c>
      <c r="AF66" s="39">
        <v>2500000000</v>
      </c>
      <c r="AG66" s="39">
        <v>0</v>
      </c>
      <c r="AH66" s="40">
        <v>1000000000</v>
      </c>
      <c r="AI66" s="40"/>
    </row>
    <row r="67" spans="2:35" ht="102" customHeight="1">
      <c r="B67" s="195"/>
      <c r="C67" s="195"/>
      <c r="D67" s="195"/>
      <c r="E67" s="213"/>
      <c r="F67" s="65" t="s">
        <v>258</v>
      </c>
      <c r="G67" s="43" t="s">
        <v>259</v>
      </c>
      <c r="H67" s="43" t="s">
        <v>430</v>
      </c>
      <c r="I67" s="44" t="s">
        <v>124</v>
      </c>
      <c r="J67" s="36" t="s">
        <v>7</v>
      </c>
      <c r="K67" s="66" t="s">
        <v>126</v>
      </c>
      <c r="L67" s="66" t="s">
        <v>123</v>
      </c>
      <c r="M67" s="36">
        <v>3</v>
      </c>
      <c r="N67" s="66" t="s">
        <v>123</v>
      </c>
      <c r="O67" s="66" t="s">
        <v>125</v>
      </c>
      <c r="P67" s="66" t="s">
        <v>123</v>
      </c>
      <c r="Q67" s="100">
        <v>200000000</v>
      </c>
      <c r="R67" s="100">
        <v>200000000</v>
      </c>
      <c r="S67" s="100"/>
      <c r="T67" s="100">
        <v>200000000</v>
      </c>
      <c r="U67" s="100">
        <v>200000000</v>
      </c>
      <c r="V67" s="100"/>
      <c r="W67" s="100">
        <v>200000000</v>
      </c>
      <c r="X67" s="100"/>
      <c r="Y67" s="100"/>
      <c r="Z67" s="100">
        <v>200000000</v>
      </c>
      <c r="AA67" s="102" t="s">
        <v>519</v>
      </c>
      <c r="AB67" s="103" t="s">
        <v>518</v>
      </c>
      <c r="AC67" s="100">
        <v>286000000</v>
      </c>
      <c r="AD67" s="100" t="s">
        <v>465</v>
      </c>
      <c r="AE67" s="39">
        <v>200000000</v>
      </c>
      <c r="AF67" s="39">
        <v>200000000</v>
      </c>
      <c r="AG67" s="39">
        <f>+AE67-AF67</f>
        <v>0</v>
      </c>
      <c r="AH67" s="40">
        <v>200000000</v>
      </c>
      <c r="AI67" s="40"/>
    </row>
    <row r="68" spans="2:35" ht="144">
      <c r="B68" s="195"/>
      <c r="C68" s="195"/>
      <c r="D68" s="195"/>
      <c r="E68" s="87" t="s">
        <v>538</v>
      </c>
      <c r="F68" s="65" t="s">
        <v>260</v>
      </c>
      <c r="G68" s="43" t="s">
        <v>261</v>
      </c>
      <c r="H68" s="43" t="s">
        <v>431</v>
      </c>
      <c r="I68" s="44" t="s">
        <v>432</v>
      </c>
      <c r="J68" s="36" t="s">
        <v>7</v>
      </c>
      <c r="K68" s="73">
        <v>1</v>
      </c>
      <c r="L68" s="73">
        <v>1</v>
      </c>
      <c r="M68" s="73">
        <v>1</v>
      </c>
      <c r="N68" s="73">
        <v>1</v>
      </c>
      <c r="O68" s="73">
        <v>1</v>
      </c>
      <c r="P68" s="73">
        <v>1</v>
      </c>
      <c r="Q68" s="100">
        <v>150000000</v>
      </c>
      <c r="R68" s="100">
        <v>150000000</v>
      </c>
      <c r="S68" s="100"/>
      <c r="T68" s="100">
        <v>150000000</v>
      </c>
      <c r="U68" s="100">
        <v>150000000</v>
      </c>
      <c r="V68" s="100"/>
      <c r="W68" s="100">
        <v>150000000</v>
      </c>
      <c r="X68" s="100"/>
      <c r="Y68" s="100"/>
      <c r="Z68" s="100">
        <v>150000000</v>
      </c>
      <c r="AA68" s="102" t="s">
        <v>246</v>
      </c>
      <c r="AB68" s="103" t="s">
        <v>520</v>
      </c>
      <c r="AC68" s="100">
        <v>150000000</v>
      </c>
      <c r="AD68" s="100" t="s">
        <v>465</v>
      </c>
      <c r="AE68" s="77">
        <v>150000000</v>
      </c>
      <c r="AF68" s="77">
        <v>150000000</v>
      </c>
      <c r="AG68" s="77"/>
      <c r="AH68" s="38">
        <v>150000000</v>
      </c>
      <c r="AI68" s="38"/>
    </row>
    <row r="69" spans="2:35" ht="90">
      <c r="B69" s="195"/>
      <c r="C69" s="195"/>
      <c r="D69" s="195"/>
      <c r="E69" s="213" t="s">
        <v>290</v>
      </c>
      <c r="F69" s="71" t="s">
        <v>262</v>
      </c>
      <c r="G69" s="43" t="s">
        <v>263</v>
      </c>
      <c r="H69" s="43" t="s">
        <v>433</v>
      </c>
      <c r="I69" s="44" t="s">
        <v>434</v>
      </c>
      <c r="J69" s="36" t="s">
        <v>7</v>
      </c>
      <c r="K69" s="36">
        <v>612</v>
      </c>
      <c r="L69" s="36">
        <v>162</v>
      </c>
      <c r="M69" s="36">
        <v>162</v>
      </c>
      <c r="N69" s="36">
        <v>163</v>
      </c>
      <c r="O69" s="36">
        <v>163</v>
      </c>
      <c r="P69" s="36">
        <v>650</v>
      </c>
      <c r="Q69" s="104">
        <v>0</v>
      </c>
      <c r="R69" s="104">
        <v>0</v>
      </c>
      <c r="S69" s="104"/>
      <c r="T69" s="104">
        <v>0</v>
      </c>
      <c r="U69" s="104"/>
      <c r="V69" s="104"/>
      <c r="W69" s="104">
        <v>0</v>
      </c>
      <c r="X69" s="104"/>
      <c r="Y69" s="100"/>
      <c r="Z69" s="104">
        <v>0</v>
      </c>
      <c r="AA69" s="240" t="s">
        <v>521</v>
      </c>
      <c r="AB69" s="250" t="s">
        <v>522</v>
      </c>
      <c r="AC69" s="255">
        <v>3600000000</v>
      </c>
      <c r="AD69" s="255" t="s">
        <v>523</v>
      </c>
      <c r="AE69" s="39"/>
      <c r="AF69" s="39"/>
      <c r="AG69" s="39"/>
      <c r="AH69" s="40"/>
      <c r="AI69" s="40"/>
    </row>
    <row r="70" spans="2:35" ht="108">
      <c r="B70" s="195"/>
      <c r="C70" s="195"/>
      <c r="D70" s="195"/>
      <c r="E70" s="213"/>
      <c r="F70" s="71" t="s">
        <v>264</v>
      </c>
      <c r="G70" s="43" t="s">
        <v>265</v>
      </c>
      <c r="H70" s="43" t="s">
        <v>435</v>
      </c>
      <c r="I70" s="44" t="s">
        <v>436</v>
      </c>
      <c r="J70" s="36" t="s">
        <v>7</v>
      </c>
      <c r="K70" s="36">
        <v>1</v>
      </c>
      <c r="L70" s="36">
        <v>1</v>
      </c>
      <c r="M70" s="36">
        <v>1</v>
      </c>
      <c r="N70" s="36">
        <v>1</v>
      </c>
      <c r="O70" s="36">
        <v>1</v>
      </c>
      <c r="P70" s="36">
        <v>1</v>
      </c>
      <c r="Q70" s="100">
        <v>3564000000</v>
      </c>
      <c r="R70" s="100">
        <v>3564000000</v>
      </c>
      <c r="S70" s="100"/>
      <c r="T70" s="100">
        <v>4652000000</v>
      </c>
      <c r="U70" s="100">
        <v>4652000000</v>
      </c>
      <c r="V70" s="100"/>
      <c r="W70" s="100">
        <v>4652000000</v>
      </c>
      <c r="X70" s="100"/>
      <c r="Y70" s="100"/>
      <c r="Z70" s="100">
        <v>5000000000</v>
      </c>
      <c r="AA70" s="241"/>
      <c r="AB70" s="251"/>
      <c r="AC70" s="256"/>
      <c r="AD70" s="256"/>
      <c r="AE70" s="77">
        <v>3600000000.46</v>
      </c>
      <c r="AF70" s="77">
        <v>3563536928</v>
      </c>
      <c r="AG70" s="77">
        <f>+AE70-AF70</f>
        <v>36463072.460000038</v>
      </c>
      <c r="AH70" s="38">
        <f>+Q70-AI70</f>
        <v>2264000000</v>
      </c>
      <c r="AI70" s="38">
        <v>1300000000</v>
      </c>
    </row>
    <row r="71" spans="2:35" ht="72">
      <c r="B71" s="195"/>
      <c r="C71" s="195"/>
      <c r="D71" s="195"/>
      <c r="E71" s="87" t="s">
        <v>291</v>
      </c>
      <c r="F71" s="71" t="s">
        <v>266</v>
      </c>
      <c r="G71" s="43" t="s">
        <v>267</v>
      </c>
      <c r="H71" s="43" t="s">
        <v>437</v>
      </c>
      <c r="I71" s="44" t="s">
        <v>438</v>
      </c>
      <c r="J71" s="36" t="s">
        <v>7</v>
      </c>
      <c r="K71" s="36" t="s">
        <v>16</v>
      </c>
      <c r="L71" s="36">
        <v>500</v>
      </c>
      <c r="M71" s="36">
        <v>500</v>
      </c>
      <c r="N71" s="36">
        <v>500</v>
      </c>
      <c r="O71" s="36">
        <v>500</v>
      </c>
      <c r="P71" s="75">
        <v>2000</v>
      </c>
      <c r="Q71" s="104">
        <v>1500000000</v>
      </c>
      <c r="R71" s="104">
        <v>1500000000</v>
      </c>
      <c r="S71" s="104"/>
      <c r="T71" s="104">
        <v>700000000</v>
      </c>
      <c r="U71" s="104">
        <v>700000000</v>
      </c>
      <c r="V71" s="104"/>
      <c r="W71" s="104">
        <v>700000000</v>
      </c>
      <c r="X71" s="104"/>
      <c r="Y71" s="100"/>
      <c r="Z71" s="104">
        <v>700000000</v>
      </c>
      <c r="AA71" s="102" t="s">
        <v>514</v>
      </c>
      <c r="AB71" s="103" t="s">
        <v>515</v>
      </c>
      <c r="AC71" s="100">
        <v>1500000000</v>
      </c>
      <c r="AD71" s="100" t="s">
        <v>465</v>
      </c>
      <c r="AE71" s="39"/>
      <c r="AF71" s="39"/>
      <c r="AG71" s="39"/>
      <c r="AH71" s="40">
        <v>1500000000</v>
      </c>
      <c r="AI71" s="40"/>
    </row>
    <row r="72" spans="2:35" ht="72">
      <c r="B72" s="195"/>
      <c r="C72" s="195"/>
      <c r="D72" s="195"/>
      <c r="E72" s="213" t="s">
        <v>292</v>
      </c>
      <c r="F72" s="71" t="s">
        <v>268</v>
      </c>
      <c r="G72" s="43" t="s">
        <v>21</v>
      </c>
      <c r="H72" s="43" t="s">
        <v>439</v>
      </c>
      <c r="I72" s="44" t="s">
        <v>440</v>
      </c>
      <c r="J72" s="36" t="s">
        <v>7</v>
      </c>
      <c r="K72" s="73">
        <v>0.92</v>
      </c>
      <c r="L72" s="73">
        <v>1</v>
      </c>
      <c r="M72" s="73">
        <v>1</v>
      </c>
      <c r="N72" s="73">
        <v>1</v>
      </c>
      <c r="O72" s="73">
        <v>1</v>
      </c>
      <c r="P72" s="73">
        <v>1</v>
      </c>
      <c r="Q72" s="100">
        <v>900000000</v>
      </c>
      <c r="R72" s="100">
        <v>900000000</v>
      </c>
      <c r="S72" s="100"/>
      <c r="T72" s="100">
        <v>700000000</v>
      </c>
      <c r="U72" s="100">
        <v>700000000</v>
      </c>
      <c r="V72" s="100"/>
      <c r="W72" s="100">
        <v>700000000</v>
      </c>
      <c r="X72" s="100"/>
      <c r="Y72" s="100"/>
      <c r="Z72" s="100">
        <v>900000000</v>
      </c>
      <c r="AA72" s="102" t="s">
        <v>525</v>
      </c>
      <c r="AB72" s="103" t="s">
        <v>526</v>
      </c>
      <c r="AC72" s="100">
        <v>747450700</v>
      </c>
      <c r="AD72" s="105" t="s">
        <v>524</v>
      </c>
      <c r="AE72" s="39">
        <v>899100700</v>
      </c>
      <c r="AF72" s="39">
        <v>899100700</v>
      </c>
      <c r="AG72" s="39">
        <v>0</v>
      </c>
      <c r="AH72" s="40">
        <f>+Q72-AI72</f>
        <v>699200000</v>
      </c>
      <c r="AI72" s="40">
        <v>200800000</v>
      </c>
    </row>
    <row r="73" spans="2:35" ht="234">
      <c r="B73" s="195"/>
      <c r="C73" s="195"/>
      <c r="D73" s="195"/>
      <c r="E73" s="213"/>
      <c r="F73" s="71" t="s">
        <v>269</v>
      </c>
      <c r="G73" s="43" t="s">
        <v>133</v>
      </c>
      <c r="H73" s="43" t="s">
        <v>441</v>
      </c>
      <c r="I73" s="44" t="s">
        <v>442</v>
      </c>
      <c r="J73" s="36" t="s">
        <v>7</v>
      </c>
      <c r="K73" s="73">
        <v>1</v>
      </c>
      <c r="L73" s="73">
        <v>1</v>
      </c>
      <c r="M73" s="73">
        <v>1</v>
      </c>
      <c r="N73" s="73">
        <v>1</v>
      </c>
      <c r="O73" s="73">
        <v>1</v>
      </c>
      <c r="P73" s="73">
        <v>1</v>
      </c>
      <c r="Q73" s="77">
        <v>4085000000</v>
      </c>
      <c r="R73" s="77">
        <v>4085000000</v>
      </c>
      <c r="S73" s="100"/>
      <c r="T73" s="100">
        <v>3300000000</v>
      </c>
      <c r="U73" s="100">
        <v>3300000000</v>
      </c>
      <c r="V73" s="100"/>
      <c r="W73" s="100">
        <f>3500000000-165006263</f>
        <v>3334993737</v>
      </c>
      <c r="X73" s="100"/>
      <c r="Y73" s="100"/>
      <c r="Z73" s="100">
        <f>4100000000-86338668</f>
        <v>4013661332</v>
      </c>
      <c r="AA73" s="102" t="s">
        <v>527</v>
      </c>
      <c r="AB73" s="103" t="s">
        <v>556</v>
      </c>
      <c r="AC73" s="100">
        <v>4228127279.7199998</v>
      </c>
      <c r="AD73" s="106" t="s">
        <v>528</v>
      </c>
      <c r="AE73" s="77">
        <f>2978127279.72+750000000+500000000</f>
        <v>4228127279.7199998</v>
      </c>
      <c r="AF73" s="77">
        <f>2978127279.72+606000000+500000000</f>
        <v>4084127279.7199998</v>
      </c>
      <c r="AG73" s="77">
        <f>+AE73-AF73</f>
        <v>144000000</v>
      </c>
      <c r="AH73" s="38">
        <f>+Q73-AI73</f>
        <v>2868200000</v>
      </c>
      <c r="AI73" s="38">
        <v>1216800000</v>
      </c>
    </row>
    <row r="74" spans="2:35" ht="54">
      <c r="B74" s="195"/>
      <c r="C74" s="195"/>
      <c r="D74" s="195"/>
      <c r="E74" s="213"/>
      <c r="F74" s="71" t="s">
        <v>270</v>
      </c>
      <c r="G74" s="43" t="s">
        <v>22</v>
      </c>
      <c r="H74" s="43" t="s">
        <v>443</v>
      </c>
      <c r="I74" s="44" t="s">
        <v>444</v>
      </c>
      <c r="J74" s="36" t="s">
        <v>15</v>
      </c>
      <c r="K74" s="73">
        <v>0.53</v>
      </c>
      <c r="L74" s="73">
        <v>0.6</v>
      </c>
      <c r="M74" s="73">
        <v>0.62</v>
      </c>
      <c r="N74" s="73">
        <v>0.64</v>
      </c>
      <c r="O74" s="73">
        <v>0.66</v>
      </c>
      <c r="P74" s="73">
        <v>0.66</v>
      </c>
      <c r="Q74" s="100">
        <v>1481000000</v>
      </c>
      <c r="R74" s="100">
        <v>1481000000</v>
      </c>
      <c r="S74" s="100"/>
      <c r="T74" s="100">
        <v>950211004</v>
      </c>
      <c r="U74" s="100">
        <f>1100000000-149788996</f>
        <v>950211004</v>
      </c>
      <c r="V74" s="100"/>
      <c r="W74" s="100">
        <v>1100000000</v>
      </c>
      <c r="X74" s="100"/>
      <c r="Y74" s="100"/>
      <c r="Z74" s="100">
        <v>1500000000</v>
      </c>
      <c r="AA74" s="102" t="s">
        <v>529</v>
      </c>
      <c r="AB74" s="103" t="s">
        <v>530</v>
      </c>
      <c r="AC74" s="100">
        <v>1480762798.8900001</v>
      </c>
      <c r="AD74" s="106" t="s">
        <v>531</v>
      </c>
      <c r="AE74" s="77">
        <v>1480762798.8900001</v>
      </c>
      <c r="AF74" s="77">
        <v>1480762798.8900001</v>
      </c>
      <c r="AG74" s="77">
        <f>+AE74-AF74</f>
        <v>0</v>
      </c>
      <c r="AH74" s="38">
        <v>1481000000</v>
      </c>
      <c r="AI74" s="38">
        <v>0</v>
      </c>
    </row>
    <row r="75" spans="2:35" ht="108">
      <c r="B75" s="195"/>
      <c r="C75" s="195"/>
      <c r="D75" s="195"/>
      <c r="E75" s="213"/>
      <c r="F75" s="71" t="s">
        <v>271</v>
      </c>
      <c r="G75" s="43" t="s">
        <v>134</v>
      </c>
      <c r="H75" s="43" t="s">
        <v>445</v>
      </c>
      <c r="I75" s="44" t="s">
        <v>446</v>
      </c>
      <c r="J75" s="36" t="s">
        <v>7</v>
      </c>
      <c r="K75" s="73">
        <v>1</v>
      </c>
      <c r="L75" s="73">
        <v>1</v>
      </c>
      <c r="M75" s="73">
        <v>1</v>
      </c>
      <c r="N75" s="73">
        <v>1</v>
      </c>
      <c r="O75" s="73">
        <v>1</v>
      </c>
      <c r="P75" s="73">
        <v>1</v>
      </c>
      <c r="Q75" s="100">
        <v>59000000</v>
      </c>
      <c r="R75" s="100">
        <v>59000000</v>
      </c>
      <c r="S75" s="100"/>
      <c r="T75" s="100">
        <v>65000000</v>
      </c>
      <c r="U75" s="100">
        <v>65000000</v>
      </c>
      <c r="V75" s="100"/>
      <c r="W75" s="100">
        <v>70000000</v>
      </c>
      <c r="X75" s="100"/>
      <c r="Y75" s="100"/>
      <c r="Z75" s="100">
        <v>75000000</v>
      </c>
      <c r="AA75" s="102" t="s">
        <v>533</v>
      </c>
      <c r="AB75" s="103" t="s">
        <v>532</v>
      </c>
      <c r="AC75" s="100">
        <v>58082899.829999998</v>
      </c>
      <c r="AD75" s="100" t="s">
        <v>534</v>
      </c>
      <c r="AE75" s="77">
        <v>58082899.829999998</v>
      </c>
      <c r="AF75" s="77">
        <v>58082899.829999998</v>
      </c>
      <c r="AG75" s="77"/>
      <c r="AH75" s="38">
        <v>50000000</v>
      </c>
      <c r="AI75" s="38">
        <v>9000000</v>
      </c>
    </row>
    <row r="76" spans="2:35">
      <c r="R76" s="56">
        <v>51898025803.519997</v>
      </c>
      <c r="U76" s="56">
        <v>44794367004</v>
      </c>
      <c r="W76" s="56">
        <v>47441388014</v>
      </c>
      <c r="Z76" s="56">
        <v>49772321332</v>
      </c>
    </row>
    <row r="79" spans="2:35">
      <c r="R79" s="56" t="e">
        <f>+#REF!-R76</f>
        <v>#REF!</v>
      </c>
      <c r="U79" s="56" t="e">
        <f>+#REF!-U76</f>
        <v>#REF!</v>
      </c>
      <c r="W79" s="56" t="e">
        <f>+#REF!-W76</f>
        <v>#REF!</v>
      </c>
      <c r="Z79" s="56" t="e">
        <f>+#REF!-Z76</f>
        <v>#REF!</v>
      </c>
    </row>
  </sheetData>
  <autoFilter ref="B2:Z44" xr:uid="{00000000-0009-0000-0000-000004000000}"/>
  <mergeCells count="131">
    <mergeCell ref="F1:H1"/>
    <mergeCell ref="AA38:AA39"/>
    <mergeCell ref="AB38:AB39"/>
    <mergeCell ref="AA3:AA6"/>
    <mergeCell ref="AB3:AB6"/>
    <mergeCell ref="AA33:AA34"/>
    <mergeCell ref="AB33:AB34"/>
    <mergeCell ref="AA36:AA37"/>
    <mergeCell ref="F33:F34"/>
    <mergeCell ref="G33:G34"/>
    <mergeCell ref="AA24:AA25"/>
    <mergeCell ref="AB24:AB25"/>
    <mergeCell ref="G15:G16"/>
    <mergeCell ref="AA1:AD1"/>
    <mergeCell ref="F19:F20"/>
    <mergeCell ref="G19:G20"/>
    <mergeCell ref="E69:E70"/>
    <mergeCell ref="AA69:AA70"/>
    <mergeCell ref="AB69:AB70"/>
    <mergeCell ref="AC69:AC70"/>
    <mergeCell ref="AD69:AD70"/>
    <mergeCell ref="AA58:AA60"/>
    <mergeCell ref="AB58:AB60"/>
    <mergeCell ref="AB36:AB37"/>
    <mergeCell ref="AA46:AA49"/>
    <mergeCell ref="AB46:AB49"/>
    <mergeCell ref="AA50:AA51"/>
    <mergeCell ref="AB50:AB51"/>
    <mergeCell ref="E36:E39"/>
    <mergeCell ref="B61:B75"/>
    <mergeCell ref="C61:C75"/>
    <mergeCell ref="D61:D75"/>
    <mergeCell ref="E61:E63"/>
    <mergeCell ref="AA61:AA62"/>
    <mergeCell ref="E72:E75"/>
    <mergeCell ref="AE53:AE57"/>
    <mergeCell ref="AF53:AF57"/>
    <mergeCell ref="AG53:AG57"/>
    <mergeCell ref="B58:B60"/>
    <mergeCell ref="C58:C60"/>
    <mergeCell ref="D58:D60"/>
    <mergeCell ref="E59:E60"/>
    <mergeCell ref="G59:G60"/>
    <mergeCell ref="B53:B57"/>
    <mergeCell ref="C53:C57"/>
    <mergeCell ref="D53:D57"/>
    <mergeCell ref="E53:E57"/>
    <mergeCell ref="AC53:AC57"/>
    <mergeCell ref="AD53:AD57"/>
    <mergeCell ref="AB61:AB62"/>
    <mergeCell ref="AC61:AC63"/>
    <mergeCell ref="AD61:AD63"/>
    <mergeCell ref="E65:E67"/>
    <mergeCell ref="AE46:AE48"/>
    <mergeCell ref="AF46:AF48"/>
    <mergeCell ref="AG46:AG48"/>
    <mergeCell ref="AD49:AD52"/>
    <mergeCell ref="E50:E52"/>
    <mergeCell ref="F50:F51"/>
    <mergeCell ref="G50:G51"/>
    <mergeCell ref="AG40:AG44"/>
    <mergeCell ref="F42:F43"/>
    <mergeCell ref="G42:G43"/>
    <mergeCell ref="AD40:AD43"/>
    <mergeCell ref="AE40:AE44"/>
    <mergeCell ref="AF40:AF44"/>
    <mergeCell ref="B45:B52"/>
    <mergeCell ref="C45:C52"/>
    <mergeCell ref="D45:D52"/>
    <mergeCell ref="E46:E48"/>
    <mergeCell ref="F46:F48"/>
    <mergeCell ref="G46:G48"/>
    <mergeCell ref="AA40:AA43"/>
    <mergeCell ref="AB40:AB43"/>
    <mergeCell ref="AC40:AC43"/>
    <mergeCell ref="B40:B44"/>
    <mergeCell ref="C40:C44"/>
    <mergeCell ref="D40:D44"/>
    <mergeCell ref="E40:E44"/>
    <mergeCell ref="AE26:AE28"/>
    <mergeCell ref="AF26:AF28"/>
    <mergeCell ref="AG26:AG28"/>
    <mergeCell ref="AC31:AC34"/>
    <mergeCell ref="AD31:AD34"/>
    <mergeCell ref="B18:B39"/>
    <mergeCell ref="C18:C39"/>
    <mergeCell ref="D18:D39"/>
    <mergeCell ref="E18:E35"/>
    <mergeCell ref="F24:F25"/>
    <mergeCell ref="G24:G25"/>
    <mergeCell ref="AC24:AC25"/>
    <mergeCell ref="AD24:AD25"/>
    <mergeCell ref="AA26:AA28"/>
    <mergeCell ref="AB26:AB28"/>
    <mergeCell ref="AC26:AC28"/>
    <mergeCell ref="AD26:AD28"/>
    <mergeCell ref="AG19:AG20"/>
    <mergeCell ref="F21:F22"/>
    <mergeCell ref="G21:G22"/>
    <mergeCell ref="AA21:AA23"/>
    <mergeCell ref="AB21:AB23"/>
    <mergeCell ref="AC21:AC23"/>
    <mergeCell ref="AD21:AD23"/>
    <mergeCell ref="AE21:AE23"/>
    <mergeCell ref="AF21:AF23"/>
    <mergeCell ref="AG21:AG23"/>
    <mergeCell ref="AA19:AA20"/>
    <mergeCell ref="AB19:AB20"/>
    <mergeCell ref="AC19:AC20"/>
    <mergeCell ref="AD19:AD20"/>
    <mergeCell ref="AE19:AE20"/>
    <mergeCell ref="AF19:AF20"/>
    <mergeCell ref="AE3:AE6"/>
    <mergeCell ref="AF3:AF6"/>
    <mergeCell ref="AG3:AG6"/>
    <mergeCell ref="E6:E14"/>
    <mergeCell ref="AC9:AC10"/>
    <mergeCell ref="AD9:AD10"/>
    <mergeCell ref="F11:F12"/>
    <mergeCell ref="G11:G12"/>
    <mergeCell ref="AA11:AA12"/>
    <mergeCell ref="AB11:AB12"/>
    <mergeCell ref="B3:B17"/>
    <mergeCell ref="C3:C17"/>
    <mergeCell ref="D3:D17"/>
    <mergeCell ref="E3:E5"/>
    <mergeCell ref="AC3:AC6"/>
    <mergeCell ref="AC11:AC13"/>
    <mergeCell ref="AD11:AD13"/>
    <mergeCell ref="E15:E17"/>
    <mergeCell ref="F15:F16"/>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D99CF-943D-4914-9C82-B376A6981879}">
  <dimension ref="A1:C17"/>
  <sheetViews>
    <sheetView workbookViewId="0">
      <selection activeCell="H17" sqref="H17"/>
    </sheetView>
  </sheetViews>
  <sheetFormatPr baseColWidth="10" defaultColWidth="11" defaultRowHeight="15.75"/>
  <cols>
    <col min="1" max="1" width="68.75" style="5" customWidth="1"/>
    <col min="2" max="2" width="17" style="130" customWidth="1"/>
    <col min="3" max="3" width="14.375" style="191" customWidth="1"/>
    <col min="4" max="16384" width="11" style="5"/>
  </cols>
  <sheetData>
    <row r="1" spans="1:3" ht="31.5">
      <c r="A1" s="189" t="s">
        <v>640</v>
      </c>
      <c r="B1" s="190" t="s">
        <v>639</v>
      </c>
      <c r="C1" s="190" t="s">
        <v>638</v>
      </c>
    </row>
    <row r="2" spans="1:3">
      <c r="A2" s="131" t="s">
        <v>641</v>
      </c>
      <c r="B2" s="132">
        <v>43317.493664340007</v>
      </c>
      <c r="C2" s="192"/>
    </row>
    <row r="3" spans="1:3">
      <c r="A3" s="131" t="s">
        <v>620</v>
      </c>
      <c r="B3" s="132">
        <v>9223.5126063299995</v>
      </c>
      <c r="C3" s="193">
        <f>+B3/B2</f>
        <v>0.21292812270722428</v>
      </c>
    </row>
    <row r="4" spans="1:3">
      <c r="A4" s="131" t="s">
        <v>621</v>
      </c>
      <c r="B4" s="132">
        <v>9223.5126063299995</v>
      </c>
      <c r="C4" s="193">
        <f>+B4/B3</f>
        <v>1</v>
      </c>
    </row>
    <row r="5" spans="1:3" ht="29.25">
      <c r="A5" s="133" t="s">
        <v>622</v>
      </c>
      <c r="B5" s="134">
        <v>9223.5126063299995</v>
      </c>
      <c r="C5" s="193"/>
    </row>
    <row r="6" spans="1:3" ht="30">
      <c r="A6" s="131" t="s">
        <v>204</v>
      </c>
      <c r="B6" s="132">
        <v>17332.890741110001</v>
      </c>
      <c r="C6" s="193">
        <f>+B6/B2</f>
        <v>0.40013604839235767</v>
      </c>
    </row>
    <row r="7" spans="1:3">
      <c r="A7" s="131" t="s">
        <v>14</v>
      </c>
      <c r="B7" s="132">
        <v>9693.1200392600003</v>
      </c>
      <c r="C7" s="193">
        <f>+B7/B6</f>
        <v>0.55923274334557138</v>
      </c>
    </row>
    <row r="8" spans="1:3" ht="29.25">
      <c r="A8" s="133" t="s">
        <v>13</v>
      </c>
      <c r="B8" s="134">
        <v>6093.1200392600003</v>
      </c>
      <c r="C8" s="192"/>
    </row>
    <row r="9" spans="1:3">
      <c r="A9" s="133" t="s">
        <v>216</v>
      </c>
      <c r="B9" s="134">
        <v>3600</v>
      </c>
      <c r="C9" s="192"/>
    </row>
    <row r="10" spans="1:3" ht="45">
      <c r="A10" s="131" t="s">
        <v>17</v>
      </c>
      <c r="B10" s="132">
        <v>6329.7707018500005</v>
      </c>
      <c r="C10" s="193">
        <f>+B10/B6</f>
        <v>0.3651884037344737</v>
      </c>
    </row>
    <row r="11" spans="1:3" ht="29.25">
      <c r="A11" s="133" t="s">
        <v>101</v>
      </c>
      <c r="B11" s="134">
        <v>4590</v>
      </c>
      <c r="C11" s="192"/>
    </row>
    <row r="12" spans="1:3">
      <c r="A12" s="133" t="s">
        <v>143</v>
      </c>
      <c r="B12" s="134">
        <v>1739.7707018499998</v>
      </c>
      <c r="C12" s="192"/>
    </row>
    <row r="13" spans="1:3" ht="45">
      <c r="A13" s="131" t="s">
        <v>17</v>
      </c>
      <c r="B13" s="132">
        <v>1310</v>
      </c>
      <c r="C13" s="193">
        <f>+B13/B6</f>
        <v>7.557885291995485E-2</v>
      </c>
    </row>
    <row r="14" spans="1:3">
      <c r="A14" s="133" t="s">
        <v>18</v>
      </c>
      <c r="B14" s="134">
        <v>1310</v>
      </c>
      <c r="C14" s="193"/>
    </row>
    <row r="15" spans="1:3" ht="30">
      <c r="A15" s="131" t="s">
        <v>285</v>
      </c>
      <c r="B15" s="132">
        <v>16761.090316900001</v>
      </c>
      <c r="C15" s="193">
        <f>+B15/B2</f>
        <v>0.38693582890041789</v>
      </c>
    </row>
    <row r="16" spans="1:3">
      <c r="A16" s="131" t="s">
        <v>19</v>
      </c>
      <c r="B16" s="134">
        <v>16761.090316900001</v>
      </c>
      <c r="C16" s="193">
        <f>+B16/B15</f>
        <v>1</v>
      </c>
    </row>
    <row r="17" spans="1:3" ht="29.25">
      <c r="A17" s="133" t="s">
        <v>286</v>
      </c>
      <c r="B17" s="134">
        <v>16761.090316900001</v>
      </c>
      <c r="C17" s="19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POAI 2025</vt:lpstr>
      <vt:lpstr>Hoja1</vt:lpstr>
      <vt:lpstr>metas TOLIMA</vt:lpstr>
      <vt:lpstr>presupuesto acuifero</vt:lpstr>
      <vt:lpstr>ARMONIZACIÓN METAS</vt:lpstr>
      <vt:lpstr>RESUMEN</vt:lpstr>
      <vt:lpstr>'metas TOLIMA'!_Hlk160004381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MARCELA BELTRAN POVEDA</cp:lastModifiedBy>
  <cp:lastPrinted>2024-11-08T20:07:26Z</cp:lastPrinted>
  <dcterms:created xsi:type="dcterms:W3CDTF">2024-03-04T19:18:12Z</dcterms:created>
  <dcterms:modified xsi:type="dcterms:W3CDTF">2024-12-09T15:51:03Z</dcterms:modified>
</cp:coreProperties>
</file>